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650" windowHeight="9000" activeTab="0"/>
  </bookViews>
  <sheets>
    <sheet name="軸間距離設定" sheetId="1" r:id="rId1"/>
    <sheet name="圧縮コイルばね" sheetId="2" r:id="rId2"/>
    <sheet name="トーションコイルばね" sheetId="3" r:id="rId3"/>
  </sheets>
  <definedNames/>
  <calcPr fullCalcOnLoad="1"/>
</workbook>
</file>

<file path=xl/comments1.xml><?xml version="1.0" encoding="utf-8"?>
<comments xmlns="http://schemas.openxmlformats.org/spreadsheetml/2006/main">
  <authors>
    <author>大塚 良宏</author>
  </authors>
  <commentList>
    <comment ref="C36" authorId="0">
      <text>
        <r>
          <rPr>
            <b/>
            <sz val="9"/>
            <rFont val="ＭＳ Ｐゴシック"/>
            <family val="3"/>
          </rPr>
          <t>圧縮コイルばねのシートで計算して下さい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圧縮コイルばねのシートで設定して下さい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トーションコイルばねのシートで計算して下さい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トーションコイルばねのシートで設定して下さい</t>
        </r>
      </text>
    </comment>
  </commentList>
</comments>
</file>

<file path=xl/sharedStrings.xml><?xml version="1.0" encoding="utf-8"?>
<sst xmlns="http://schemas.openxmlformats.org/spreadsheetml/2006/main" count="127" uniqueCount="125">
  <si>
    <t>横弾性係数 Ｇ</t>
  </si>
  <si>
    <t>ばね定数 （ｋｇｆ／ｍｍ）</t>
  </si>
  <si>
    <t>材質</t>
  </si>
  <si>
    <t>線径 (mm)</t>
  </si>
  <si>
    <r>
      <t xml:space="preserve">材料の引っ張り強さ σ </t>
    </r>
    <r>
      <rPr>
        <vertAlign val="subscript"/>
        <sz val="11"/>
        <rFont val="ＭＳ Ｐゴシック"/>
        <family val="3"/>
      </rPr>
      <t>B</t>
    </r>
  </si>
  <si>
    <t>コイル平均径 (mm)</t>
  </si>
  <si>
    <t>有効巻数</t>
  </si>
  <si>
    <t>両端研磨</t>
  </si>
  <si>
    <t>密着高さ (mm)</t>
  </si>
  <si>
    <t>自由長さ (mm)</t>
  </si>
  <si>
    <r>
      <t>指定長さ Ｌ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(mm)</t>
    </r>
  </si>
  <si>
    <r>
      <t>指定長さ Ｌ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(mm)</t>
    </r>
  </si>
  <si>
    <r>
      <t>荷重 Ｐ</t>
    </r>
    <r>
      <rPr>
        <vertAlign val="subscript"/>
        <sz val="11"/>
        <rFont val="ＭＳ Ｐゴシック"/>
        <family val="3"/>
      </rPr>
      <t xml:space="preserve">１ </t>
    </r>
    <r>
      <rPr>
        <sz val="11"/>
        <rFont val="ＭＳ Ｐゴシック"/>
        <family val="3"/>
      </rPr>
      <t>(kgf)</t>
    </r>
  </si>
  <si>
    <r>
      <t>荷重 Ｐ</t>
    </r>
    <r>
      <rPr>
        <vertAlign val="subscript"/>
        <sz val="11"/>
        <rFont val="ＭＳ Ｐゴシック"/>
        <family val="3"/>
      </rPr>
      <t xml:space="preserve">２ </t>
    </r>
    <r>
      <rPr>
        <sz val="11"/>
        <rFont val="ＭＳ Ｐゴシック"/>
        <family val="3"/>
      </rPr>
      <t>(kgf)</t>
    </r>
  </si>
  <si>
    <r>
      <t>未修正応力 τ</t>
    </r>
    <r>
      <rPr>
        <vertAlign val="subscript"/>
        <sz val="11"/>
        <rFont val="ＭＳ Ｐゴシック"/>
        <family val="3"/>
      </rPr>
      <t>0</t>
    </r>
  </si>
  <si>
    <r>
      <t xml:space="preserve">修正応力 τ </t>
    </r>
    <r>
      <rPr>
        <vertAlign val="subscript"/>
        <sz val="11"/>
        <rFont val="ＭＳ Ｐゴシック"/>
        <family val="3"/>
      </rPr>
      <t>max</t>
    </r>
  </si>
  <si>
    <r>
      <t xml:space="preserve">τ </t>
    </r>
    <r>
      <rPr>
        <vertAlign val="subscript"/>
        <sz val="11"/>
        <rFont val="ＭＳ Ｐゴシック"/>
        <family val="3"/>
      </rPr>
      <t>max</t>
    </r>
    <r>
      <rPr>
        <sz val="11"/>
        <rFont val="ＭＳ Ｐゴシック"/>
        <family val="3"/>
      </rPr>
      <t xml:space="preserve">／σ </t>
    </r>
    <r>
      <rPr>
        <vertAlign val="subscript"/>
        <sz val="11"/>
        <rFont val="ＭＳ Ｐゴシック"/>
        <family val="3"/>
      </rPr>
      <t>B</t>
    </r>
  </si>
  <si>
    <t>γ</t>
  </si>
  <si>
    <t>SUS A</t>
  </si>
  <si>
    <t>SUS B</t>
  </si>
  <si>
    <t>SUS C</t>
  </si>
  <si>
    <t>SW-A</t>
  </si>
  <si>
    <t>SW-B</t>
  </si>
  <si>
    <t>SW-C</t>
  </si>
  <si>
    <t>SWP-A</t>
  </si>
  <si>
    <t>SWP-B</t>
  </si>
  <si>
    <t>SWP-V</t>
  </si>
  <si>
    <t>あり</t>
  </si>
  <si>
    <t>なし</t>
  </si>
  <si>
    <t>縦弾性係数</t>
  </si>
  <si>
    <t>T</t>
  </si>
  <si>
    <t>SWP-B</t>
  </si>
  <si>
    <t>あり</t>
  </si>
  <si>
    <t>Ｇ</t>
  </si>
  <si>
    <r>
      <t>Ｌ</t>
    </r>
    <r>
      <rPr>
        <vertAlign val="subscript"/>
        <sz val="11"/>
        <rFont val="ＭＳ Ｐゴシック"/>
        <family val="3"/>
      </rPr>
      <t>Ｇ</t>
    </r>
  </si>
  <si>
    <r>
      <t>θ</t>
    </r>
    <r>
      <rPr>
        <vertAlign val="subscript"/>
        <sz val="11"/>
        <rFont val="ＭＳ Ｐゴシック"/>
        <family val="3"/>
      </rPr>
      <t>G</t>
    </r>
  </si>
  <si>
    <r>
      <t>T</t>
    </r>
    <r>
      <rPr>
        <vertAlign val="subscript"/>
        <sz val="11"/>
        <rFont val="ＭＳ Ｐゴシック"/>
        <family val="3"/>
      </rPr>
      <t>TOTAL</t>
    </r>
  </si>
  <si>
    <t>N</t>
  </si>
  <si>
    <t>回転軸から重心までの距離</t>
  </si>
  <si>
    <t>回転軸と重心との位相差</t>
  </si>
  <si>
    <t>θ</t>
  </si>
  <si>
    <r>
      <t>L</t>
    </r>
    <r>
      <rPr>
        <vertAlign val="subscript"/>
        <sz val="11"/>
        <rFont val="ＭＳ Ｐゴシック"/>
        <family val="3"/>
      </rPr>
      <t>23</t>
    </r>
  </si>
  <si>
    <r>
      <t>L</t>
    </r>
    <r>
      <rPr>
        <vertAlign val="subscript"/>
        <sz val="11"/>
        <rFont val="ＭＳ Ｐゴシック"/>
        <family val="3"/>
      </rPr>
      <t>SP</t>
    </r>
  </si>
  <si>
    <t>蓋の重量</t>
  </si>
  <si>
    <r>
      <t>D (Y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</si>
  <si>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A (X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</si>
  <si>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B (Y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</si>
  <si>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C (X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</si>
  <si>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θ</t>
    </r>
    <r>
      <rPr>
        <vertAlign val="subscript"/>
        <sz val="11"/>
        <rFont val="ＭＳ Ｐゴシック"/>
        <family val="3"/>
      </rPr>
      <t>231</t>
    </r>
  </si>
  <si>
    <t>蓋、開閉装置の開閉角度</t>
  </si>
  <si>
    <r>
      <t>T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>-M</t>
    </r>
  </si>
  <si>
    <r>
      <t>軸（A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）のＸ座標</t>
    </r>
  </si>
  <si>
    <r>
      <t>軸（A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）のＹ座標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</si>
  <si>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）のＸ座標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</si>
  <si>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）のＹ座標</t>
    </r>
  </si>
  <si>
    <t>軸（Ｂ）のＸ座標</t>
  </si>
  <si>
    <t>軸（Ｂ）のＹ座標</t>
  </si>
  <si>
    <r>
      <t>E (X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</si>
  <si>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F (Y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</si>
  <si>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）の角度</t>
    </r>
  </si>
  <si>
    <t>軸（B）の角度</t>
  </si>
  <si>
    <r>
      <t>θ</t>
    </r>
    <r>
      <rPr>
        <vertAlign val="subscript"/>
        <sz val="11"/>
        <rFont val="ＭＳ Ｐゴシック"/>
        <family val="3"/>
      </rPr>
      <t>B</t>
    </r>
  </si>
  <si>
    <r>
      <t>L</t>
    </r>
    <r>
      <rPr>
        <vertAlign val="subscript"/>
        <sz val="11"/>
        <rFont val="ＭＳ Ｐゴシック"/>
        <family val="3"/>
      </rPr>
      <t>per-A</t>
    </r>
  </si>
  <si>
    <r>
      <t>軸（A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）－軸（B）の角度</t>
    </r>
  </si>
  <si>
    <r>
      <t>θ</t>
    </r>
    <r>
      <rPr>
        <vertAlign val="subscript"/>
        <sz val="11"/>
        <rFont val="ＭＳ Ｐゴシック"/>
        <family val="3"/>
      </rPr>
      <t>A2-B</t>
    </r>
  </si>
  <si>
    <r>
      <t>θ</t>
    </r>
    <r>
      <rPr>
        <vertAlign val="subscript"/>
        <sz val="11"/>
        <rFont val="ＭＳ Ｐゴシック"/>
        <family val="3"/>
      </rPr>
      <t>B</t>
    </r>
    <r>
      <rPr>
        <vertAlign val="subscript"/>
        <sz val="11"/>
        <rFont val="ＭＳ Ｐゴシック"/>
        <family val="3"/>
      </rPr>
      <t>0</t>
    </r>
  </si>
  <si>
    <r>
      <t>θ</t>
    </r>
    <r>
      <rPr>
        <vertAlign val="subscript"/>
        <sz val="11"/>
        <rFont val="ＭＳ Ｐゴシック"/>
        <family val="3"/>
      </rPr>
      <t>A3</t>
    </r>
  </si>
  <si>
    <r>
      <t>R</t>
    </r>
    <r>
      <rPr>
        <vertAlign val="subscript"/>
        <sz val="11"/>
        <rFont val="ＭＳ Ｐゴシック"/>
        <family val="3"/>
      </rPr>
      <t>A1B</t>
    </r>
  </si>
  <si>
    <r>
      <t>R</t>
    </r>
    <r>
      <rPr>
        <vertAlign val="subscript"/>
        <sz val="11"/>
        <rFont val="ＭＳ Ｐゴシック"/>
        <family val="3"/>
      </rPr>
      <t>A1A3</t>
    </r>
  </si>
  <si>
    <r>
      <t>θ</t>
    </r>
    <r>
      <rPr>
        <vertAlign val="subscript"/>
        <sz val="11"/>
        <rFont val="ＭＳ Ｐゴシック"/>
        <family val="3"/>
      </rPr>
      <t>A30</t>
    </r>
  </si>
  <si>
    <r>
      <t>角度θ</t>
    </r>
    <r>
      <rPr>
        <vertAlign val="subscript"/>
        <sz val="11"/>
        <rFont val="ＭＳ Ｐゴシック"/>
        <family val="3"/>
      </rPr>
      <t>A3</t>
    </r>
    <r>
      <rPr>
        <sz val="11"/>
        <rFont val="ＭＳ Ｐゴシック"/>
        <family val="3"/>
      </rPr>
      <t>での軸（A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）のＸ座標</t>
    </r>
  </si>
  <si>
    <r>
      <t>角度θ</t>
    </r>
    <r>
      <rPr>
        <vertAlign val="subscript"/>
        <sz val="11"/>
        <rFont val="ＭＳ Ｐゴシック"/>
        <family val="3"/>
      </rPr>
      <t>A3</t>
    </r>
    <r>
      <rPr>
        <sz val="11"/>
        <rFont val="ＭＳ Ｐゴシック"/>
        <family val="3"/>
      </rPr>
      <t>での軸（A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）のY座標</t>
    </r>
  </si>
  <si>
    <r>
      <t>角度θ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での軸（B）のＸ座標</t>
    </r>
  </si>
  <si>
    <r>
      <t>角度θ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での軸（B）のY座標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</si>
  <si>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）の角度　（初期位置）</t>
    </r>
  </si>
  <si>
    <t>軸（B）の角度　（初期位置）</t>
  </si>
  <si>
    <r>
      <t>R</t>
    </r>
    <r>
      <rPr>
        <vertAlign val="subscript"/>
        <sz val="11"/>
        <rFont val="ＭＳ Ｐゴシック"/>
        <family val="3"/>
      </rPr>
      <t>A2B</t>
    </r>
  </si>
  <si>
    <r>
      <t>L</t>
    </r>
    <r>
      <rPr>
        <vertAlign val="subscript"/>
        <sz val="11"/>
        <rFont val="ＭＳ Ｐゴシック"/>
        <family val="3"/>
      </rPr>
      <t>per-B</t>
    </r>
  </si>
  <si>
    <r>
      <t>軸（A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）の開閉装置のトルク特性</t>
    </r>
  </si>
  <si>
    <r>
      <t>L</t>
    </r>
    <r>
      <rPr>
        <vertAlign val="subscript"/>
        <sz val="11"/>
        <rFont val="ＭＳ Ｐゴシック"/>
        <family val="3"/>
      </rPr>
      <t>BA</t>
    </r>
  </si>
  <si>
    <r>
      <t>L</t>
    </r>
    <r>
      <rPr>
        <vertAlign val="subscript"/>
        <sz val="11"/>
        <rFont val="ＭＳ Ｐゴシック"/>
        <family val="3"/>
      </rPr>
      <t>BR</t>
    </r>
  </si>
  <si>
    <t>軸（B）の３節リンクのトルク特性</t>
  </si>
  <si>
    <r>
      <t>指定角度 Θ</t>
    </r>
    <r>
      <rPr>
        <vertAlign val="subscript"/>
        <sz val="11"/>
        <rFont val="ＭＳ Ｐゴシック"/>
        <family val="3"/>
      </rPr>
      <t>２</t>
    </r>
  </si>
  <si>
    <t>材質</t>
  </si>
  <si>
    <t>線径</t>
  </si>
  <si>
    <t>縦弾性係数 E</t>
  </si>
  <si>
    <r>
      <t xml:space="preserve">材料の引っ張り強さ σ </t>
    </r>
    <r>
      <rPr>
        <vertAlign val="subscript"/>
        <sz val="11"/>
        <rFont val="ＭＳ Ｐゴシック"/>
        <family val="3"/>
      </rPr>
      <t>B</t>
    </r>
  </si>
  <si>
    <t>コイル平均径</t>
  </si>
  <si>
    <t>巻数</t>
  </si>
  <si>
    <t>バネ定数 (kgf-mm/deg)</t>
  </si>
  <si>
    <r>
      <t>指定角度 Θ</t>
    </r>
    <r>
      <rPr>
        <vertAlign val="subscript"/>
        <sz val="11"/>
        <rFont val="ＭＳ Ｐゴシック"/>
        <family val="3"/>
      </rPr>
      <t>１</t>
    </r>
  </si>
  <si>
    <t>巻幅 H</t>
  </si>
  <si>
    <r>
      <t xml:space="preserve">巻幅 H </t>
    </r>
    <r>
      <rPr>
        <vertAlign val="subscript"/>
        <sz val="11"/>
        <rFont val="ＭＳ Ｐゴシック"/>
        <family val="3"/>
      </rPr>
      <t>2</t>
    </r>
  </si>
  <si>
    <r>
      <t>トルク Ｔ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(kgf-mm)</t>
    </r>
  </si>
  <si>
    <r>
      <t>トルク Ｔ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(kgf-mm)</t>
    </r>
  </si>
  <si>
    <r>
      <t xml:space="preserve">曲げ応力 σ </t>
    </r>
    <r>
      <rPr>
        <vertAlign val="subscript"/>
        <sz val="11"/>
        <rFont val="ＭＳ Ｐゴシック"/>
        <family val="3"/>
      </rPr>
      <t>１</t>
    </r>
  </si>
  <si>
    <r>
      <t xml:space="preserve">曲げ応力 σ </t>
    </r>
    <r>
      <rPr>
        <vertAlign val="subscript"/>
        <sz val="11"/>
        <rFont val="ＭＳ Ｐゴシック"/>
        <family val="3"/>
      </rPr>
      <t>２</t>
    </r>
  </si>
  <si>
    <r>
      <t xml:space="preserve">最大曲げ応力 σ </t>
    </r>
    <r>
      <rPr>
        <vertAlign val="subscript"/>
        <sz val="11"/>
        <rFont val="ＭＳ Ｐゴシック"/>
        <family val="3"/>
      </rPr>
      <t>max</t>
    </r>
  </si>
  <si>
    <r>
      <t xml:space="preserve">最大応力係数 σ </t>
    </r>
    <r>
      <rPr>
        <vertAlign val="subscript"/>
        <sz val="11"/>
        <rFont val="ＭＳ Ｐゴシック"/>
        <family val="3"/>
      </rPr>
      <t xml:space="preserve">max </t>
    </r>
    <r>
      <rPr>
        <sz val="11"/>
        <rFont val="ＭＳ Ｐゴシック"/>
        <family val="3"/>
      </rPr>
      <t xml:space="preserve"> ／ σ </t>
    </r>
    <r>
      <rPr>
        <vertAlign val="subscript"/>
        <sz val="11"/>
        <rFont val="ＭＳ Ｐゴシック"/>
        <family val="3"/>
      </rPr>
      <t>B</t>
    </r>
  </si>
  <si>
    <t>γ</t>
  </si>
  <si>
    <t>最小内径</t>
  </si>
  <si>
    <t>SUS A</t>
  </si>
  <si>
    <t>SUS B</t>
  </si>
  <si>
    <t>SUS C</t>
  </si>
  <si>
    <t>SW-A</t>
  </si>
  <si>
    <t>SW-B</t>
  </si>
  <si>
    <t>SW-C</t>
  </si>
  <si>
    <t>SWP-A</t>
  </si>
  <si>
    <t>SWP-B</t>
  </si>
  <si>
    <t>SWP-V</t>
  </si>
  <si>
    <t>(7)-(43)</t>
  </si>
  <si>
    <t>軸（Ｂ）の回転トルク</t>
  </si>
  <si>
    <t>トーションコイルばねによるトルク</t>
  </si>
  <si>
    <t>トーションコイルばね1本のトルク</t>
  </si>
  <si>
    <t>トーションコイルばねの数量</t>
  </si>
  <si>
    <r>
      <t>θ</t>
    </r>
    <r>
      <rPr>
        <vertAlign val="subscript"/>
        <sz val="11"/>
        <rFont val="ＭＳ Ｐゴシック"/>
        <family val="3"/>
      </rPr>
      <t>A3A2B</t>
    </r>
  </si>
  <si>
    <t>トーションコイルばねのばね定数</t>
  </si>
  <si>
    <t>初期のねじり角度</t>
  </si>
  <si>
    <t>圧縮コイルばねのばね定数</t>
  </si>
  <si>
    <t>圧縮コイルばねの自由長さ</t>
  </si>
  <si>
    <t>圧縮コイルばねの数</t>
  </si>
  <si>
    <t>軸（Ａ１）での蓋の自重モーメント</t>
  </si>
  <si>
    <t>軸（Ｂ）での蓋の自重モーメント</t>
  </si>
  <si>
    <r>
      <t>Ｍ</t>
    </r>
    <r>
      <rPr>
        <vertAlign val="subscript"/>
        <sz val="11"/>
        <rFont val="ＭＳ Ｐゴシック"/>
        <family val="3"/>
      </rPr>
      <t>Ｂ</t>
    </r>
  </si>
  <si>
    <r>
      <t>M</t>
    </r>
    <r>
      <rPr>
        <vertAlign val="subscript"/>
        <sz val="11"/>
        <rFont val="ＭＳ Ｐゴシック"/>
        <family val="3"/>
      </rPr>
      <t>Ａ１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</si>
</sst>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_ "/>
    <numFmt numFmtId="178" formatCode="0_ "/>
    <numFmt numFmtId="179" formatCode="0.00_ "/>
    <numFmt numFmtId="180" formatCode="[&lt;=999]000;000\-00"/>
    <numFmt numFmtId="181" formatCode="0.000_ "/>
    <numFmt numFmtId="182" formatCode="0.0%"/>
    <numFmt numFmtId="183" formatCode="0.E+00"/>
  </numFmts>
  <fonts count="8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4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11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81" fontId="0" fillId="4" borderId="0" xfId="0" applyNumberFormat="1" applyFill="1" applyAlignment="1" applyProtection="1">
      <alignment/>
      <protection locked="0"/>
    </xf>
    <xf numFmtId="178" fontId="0" fillId="4" borderId="0" xfId="0" applyNumberFormat="1" applyFill="1" applyAlignment="1" applyProtection="1">
      <alignment/>
      <protection locked="0"/>
    </xf>
    <xf numFmtId="177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5" borderId="7" xfId="0" applyNumberFormat="1" applyFill="1" applyBorder="1" applyAlignment="1" applyProtection="1">
      <alignment/>
      <protection/>
    </xf>
    <xf numFmtId="178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78" fontId="0" fillId="5" borderId="8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11" fontId="0" fillId="6" borderId="0" xfId="0" applyNumberForma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/>
    </xf>
    <xf numFmtId="178" fontId="0" fillId="0" borderId="0" xfId="0" applyNumberFormat="1" applyFont="1" applyAlignment="1">
      <alignment/>
    </xf>
    <xf numFmtId="179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9" fontId="0" fillId="0" borderId="7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8" fontId="0" fillId="0" borderId="8" xfId="0" applyNumberFormat="1" applyBorder="1" applyAlignment="1">
      <alignment/>
    </xf>
    <xf numFmtId="179" fontId="0" fillId="5" borderId="7" xfId="0" applyNumberFormat="1" applyFill="1" applyBorder="1" applyAlignment="1">
      <alignment/>
    </xf>
    <xf numFmtId="178" fontId="0" fillId="5" borderId="0" xfId="0" applyNumberFormat="1" applyFill="1" applyBorder="1" applyAlignment="1">
      <alignment/>
    </xf>
    <xf numFmtId="0" fontId="0" fillId="5" borderId="0" xfId="0" applyFill="1" applyAlignment="1">
      <alignment/>
    </xf>
    <xf numFmtId="178" fontId="0" fillId="5" borderId="8" xfId="0" applyNumberFormat="1" applyFill="1" applyBorder="1" applyAlignment="1">
      <alignment/>
    </xf>
    <xf numFmtId="0" fontId="0" fillId="5" borderId="0" xfId="0" applyFill="1" applyBorder="1" applyAlignment="1">
      <alignment/>
    </xf>
    <xf numFmtId="179" fontId="0" fillId="0" borderId="9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1" xfId="0" applyNumberFormat="1" applyBorder="1" applyAlignment="1">
      <alignment/>
    </xf>
    <xf numFmtId="0" fontId="0" fillId="7" borderId="0" xfId="0" applyFill="1" applyAlignment="1" applyProtection="1">
      <alignment/>
      <protection locked="0"/>
    </xf>
    <xf numFmtId="179" fontId="0" fillId="7" borderId="0" xfId="0" applyNumberFormat="1" applyFill="1" applyAlignment="1" applyProtection="1">
      <alignment/>
      <protection locked="0"/>
    </xf>
    <xf numFmtId="177" fontId="0" fillId="7" borderId="0" xfId="0" applyNumberFormat="1" applyFill="1" applyAlignment="1" applyProtection="1">
      <alignment/>
      <protection locked="0"/>
    </xf>
    <xf numFmtId="11" fontId="0" fillId="7" borderId="0" xfId="0" applyNumberFormat="1" applyFill="1" applyAlignment="1">
      <alignment/>
    </xf>
    <xf numFmtId="11" fontId="0" fillId="6" borderId="0" xfId="0" applyNumberFormat="1" applyFill="1" applyAlignment="1">
      <alignment/>
    </xf>
    <xf numFmtId="11" fontId="0" fillId="8" borderId="0" xfId="0" applyNumberFormat="1" applyFill="1" applyAlignment="1">
      <alignment/>
    </xf>
    <xf numFmtId="11" fontId="0" fillId="9" borderId="0" xfId="0" applyNumberFormat="1" applyFill="1" applyAlignment="1">
      <alignment/>
    </xf>
    <xf numFmtId="11" fontId="0" fillId="10" borderId="0" xfId="0" applyNumberFormat="1" applyFill="1" applyAlignment="1">
      <alignment/>
    </xf>
    <xf numFmtId="11" fontId="5" fillId="1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【図１３】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軸ＢでのＡＤＦの自重モーメント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'軸間距離設定'!$C$1:$R$1</c:f>
              <c:numCache/>
            </c:numRef>
          </c:cat>
          <c:val>
            <c:numRef>
              <c:f>'軸間距離設定'!$C$7:$R$7</c:f>
              <c:numCache/>
            </c:numRef>
          </c:val>
          <c:smooth val="0"/>
        </c:ser>
        <c:ser>
          <c:idx val="0"/>
          <c:order val="1"/>
          <c:tx>
            <c:strRef>
              <c:f>'軸間距離設定'!$A$43</c:f>
              <c:strCache>
                <c:ptCount val="1"/>
                <c:pt idx="0">
                  <c:v>軸（B）の３節リンクのトルク特性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'軸間距離設定'!$C$1:$R$1</c:f>
              <c:numCache/>
            </c:numRef>
          </c:cat>
          <c:val>
            <c:numRef>
              <c:f>'軸間距離設定'!$C$43:$R$43</c:f>
              <c:numCache/>
            </c:numRef>
          </c:val>
          <c:smooth val="0"/>
        </c:ser>
        <c:ser>
          <c:idx val="2"/>
          <c:order val="2"/>
          <c:tx>
            <c:strRef>
              <c:f>'軸間距離設定'!$A$50</c:f>
              <c:strCache>
                <c:ptCount val="1"/>
                <c:pt idx="0">
                  <c:v>軸（Ｂ）の回転トルク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'軸間距離設定'!$C$50:$R$50</c:f>
              <c:numCache/>
            </c:numRef>
          </c:val>
          <c:smooth val="0"/>
        </c:ser>
        <c:ser>
          <c:idx val="3"/>
          <c:order val="3"/>
          <c:tx>
            <c:strRef>
              <c:f>'軸間距離設定'!$A$49</c:f>
              <c:strCache>
                <c:ptCount val="1"/>
                <c:pt idx="0">
                  <c:v>トーションコイルばねによるトルク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'軸間距離設定'!$C$49:$R$49</c:f>
              <c:numCache/>
            </c:numRef>
          </c:val>
          <c:smooth val="0"/>
        </c:ser>
        <c:ser>
          <c:idx val="4"/>
          <c:order val="4"/>
          <c:tx>
            <c:strRef>
              <c:f>'軸間距離設定'!$A$40</c:f>
              <c:strCache>
                <c:ptCount val="1"/>
                <c:pt idx="0">
                  <c:v>軸（A1）の開閉装置のトルク特性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'軸間距離設定'!$C$40:$R$40</c:f>
              <c:numCache/>
            </c:numRef>
          </c:val>
          <c:smooth val="0"/>
        </c:ser>
        <c:ser>
          <c:idx val="5"/>
          <c:order val="5"/>
          <c:tx>
            <c:strRef>
              <c:f>'軸間距離設定'!$A$6</c:f>
              <c:strCache>
                <c:ptCount val="1"/>
                <c:pt idx="0">
                  <c:v>軸（Ａ１）での蓋の自重モーメント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'軸間距離設定'!$C$6:$R$6</c:f>
              <c:numCache/>
            </c:numRef>
          </c:val>
          <c:smooth val="0"/>
        </c:ser>
        <c:marker val="1"/>
        <c:axId val="15602074"/>
        <c:axId val="6200939"/>
      </c:lineChart>
      <c:catAx>
        <c:axId val="15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角度(deg)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00939"/>
        <c:crosses val="autoZero"/>
        <c:auto val="0"/>
        <c:lblOffset val="100"/>
        <c:noMultiLvlLbl val="0"/>
      </c:catAx>
      <c:valAx>
        <c:axId val="620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トルク(kgf-mm)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6020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50</xdr:row>
      <xdr:rowOff>114300</xdr:rowOff>
    </xdr:from>
    <xdr:to>
      <xdr:col>7</xdr:col>
      <xdr:colOff>400050</xdr:colOff>
      <xdr:row>78</xdr:row>
      <xdr:rowOff>161925</xdr:rowOff>
    </xdr:to>
    <xdr:graphicFrame>
      <xdr:nvGraphicFramePr>
        <xdr:cNvPr id="1" name="Chart 12"/>
        <xdr:cNvGraphicFramePr/>
      </xdr:nvGraphicFramePr>
      <xdr:xfrm>
        <a:off x="1000125" y="9639300"/>
        <a:ext cx="59055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31">
      <selection activeCell="A51" sqref="A51"/>
    </sheetView>
  </sheetViews>
  <sheetFormatPr defaultColWidth="9.00390625" defaultRowHeight="13.5"/>
  <cols>
    <col min="1" max="1" width="28.625" style="1" customWidth="1"/>
    <col min="2" max="2" width="8.625" style="1" customWidth="1"/>
    <col min="3" max="20" width="9.625" style="1" customWidth="1"/>
    <col min="21" max="16384" width="9.00390625" style="1" customWidth="1"/>
  </cols>
  <sheetData>
    <row r="1" spans="1:21" s="3" customFormat="1" ht="15" customHeight="1">
      <c r="A1" s="3" t="s">
        <v>49</v>
      </c>
      <c r="B1" s="3" t="s">
        <v>40</v>
      </c>
      <c r="C1" s="6">
        <v>0</v>
      </c>
      <c r="D1" s="6">
        <v>5</v>
      </c>
      <c r="E1" s="6">
        <v>10</v>
      </c>
      <c r="F1" s="6">
        <v>15</v>
      </c>
      <c r="G1" s="6">
        <v>20</v>
      </c>
      <c r="H1" s="6">
        <v>25</v>
      </c>
      <c r="I1" s="6">
        <v>30</v>
      </c>
      <c r="J1" s="6">
        <v>35</v>
      </c>
      <c r="K1" s="6">
        <v>40</v>
      </c>
      <c r="L1" s="6">
        <v>45</v>
      </c>
      <c r="M1" s="6">
        <v>50</v>
      </c>
      <c r="N1" s="6">
        <v>55</v>
      </c>
      <c r="O1" s="6">
        <v>60</v>
      </c>
      <c r="P1" s="6">
        <v>65</v>
      </c>
      <c r="Q1" s="6">
        <v>70</v>
      </c>
      <c r="R1" s="6">
        <v>75</v>
      </c>
      <c r="S1" s="6"/>
      <c r="T1" s="6"/>
      <c r="U1" s="6"/>
    </row>
    <row r="2" spans="3:21" s="3" customFormat="1" ht="1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" ht="15" customHeight="1">
      <c r="A3" s="1" t="s">
        <v>43</v>
      </c>
      <c r="B3" s="1" t="s">
        <v>33</v>
      </c>
      <c r="C3" s="11">
        <v>5</v>
      </c>
    </row>
    <row r="4" spans="1:3" ht="15" customHeight="1">
      <c r="A4" s="1" t="s">
        <v>38</v>
      </c>
      <c r="B4" s="1" t="s">
        <v>34</v>
      </c>
      <c r="C4" s="12">
        <v>200</v>
      </c>
    </row>
    <row r="5" spans="1:3" ht="15" customHeight="1">
      <c r="A5" s="1" t="s">
        <v>39</v>
      </c>
      <c r="B5" s="1" t="s">
        <v>35</v>
      </c>
      <c r="C5" s="12">
        <v>5</v>
      </c>
    </row>
    <row r="6" spans="1:18" ht="15" customHeight="1">
      <c r="A6" s="1" t="s">
        <v>121</v>
      </c>
      <c r="B6" s="10" t="s">
        <v>124</v>
      </c>
      <c r="C6" s="10">
        <f aca="true" t="shared" si="0" ref="C6:R6">$C$3*$C$4*COS((C1+$C$5)*PI()/180)</f>
        <v>996.1946980917455</v>
      </c>
      <c r="D6" s="10">
        <f t="shared" si="0"/>
        <v>984.807753012208</v>
      </c>
      <c r="E6" s="10">
        <f t="shared" si="0"/>
        <v>965.9258262890684</v>
      </c>
      <c r="F6" s="10">
        <f t="shared" si="0"/>
        <v>939.6926207859084</v>
      </c>
      <c r="G6" s="10">
        <f t="shared" si="0"/>
        <v>906.30778703665</v>
      </c>
      <c r="H6" s="10">
        <f t="shared" si="0"/>
        <v>866.0254037844387</v>
      </c>
      <c r="I6" s="10">
        <f t="shared" si="0"/>
        <v>819.1520442889918</v>
      </c>
      <c r="J6" s="10">
        <f t="shared" si="0"/>
        <v>766.044443118978</v>
      </c>
      <c r="K6" s="10">
        <f t="shared" si="0"/>
        <v>707.1067811865476</v>
      </c>
      <c r="L6" s="10">
        <f t="shared" si="0"/>
        <v>642.7876096865393</v>
      </c>
      <c r="M6" s="10">
        <f t="shared" si="0"/>
        <v>573.5764363510461</v>
      </c>
      <c r="N6" s="10">
        <f t="shared" si="0"/>
        <v>500.0000000000001</v>
      </c>
      <c r="O6" s="10">
        <f t="shared" si="0"/>
        <v>422.61826174069944</v>
      </c>
      <c r="P6" s="10">
        <f t="shared" si="0"/>
        <v>342.0201433256688</v>
      </c>
      <c r="Q6" s="10">
        <f t="shared" si="0"/>
        <v>258.81904510252076</v>
      </c>
      <c r="R6" s="10">
        <f t="shared" si="0"/>
        <v>173.64817766693042</v>
      </c>
    </row>
    <row r="7" spans="1:18" ht="15" customHeight="1">
      <c r="A7" s="1" t="s">
        <v>122</v>
      </c>
      <c r="B7" s="69" t="s">
        <v>123</v>
      </c>
      <c r="C7" s="69">
        <f>$C$3*($C$4*(COS((C1+$C$5)*PI()/180))-C24)</f>
        <v>471.19469809174564</v>
      </c>
      <c r="D7" s="69">
        <f aca="true" t="shared" si="1" ref="D7:R7">$C$3*($C$4*(COS((D1+$C$5)*PI()/180))-D24)</f>
        <v>463.9844300827331</v>
      </c>
      <c r="E7" s="69">
        <f t="shared" si="1"/>
        <v>453.24296039933233</v>
      </c>
      <c r="F7" s="69">
        <f t="shared" si="1"/>
        <v>439.05203811171066</v>
      </c>
      <c r="G7" s="69">
        <f t="shared" si="1"/>
        <v>421.5196647071897</v>
      </c>
      <c r="H7" s="69">
        <f t="shared" si="1"/>
        <v>400.77927213371504</v>
      </c>
      <c r="I7" s="69">
        <f t="shared" si="1"/>
        <v>376.9887073021615</v>
      </c>
      <c r="J7" s="69">
        <f t="shared" si="1"/>
        <v>350.32903077603356</v>
      </c>
      <c r="K7" s="69">
        <f t="shared" si="1"/>
        <v>321.0031387912476</v>
      </c>
      <c r="L7" s="69">
        <f t="shared" si="1"/>
        <v>289.2342190932657</v>
      </c>
      <c r="M7" s="69">
        <f t="shared" si="1"/>
        <v>255.2640523435875</v>
      </c>
      <c r="N7" s="69">
        <f t="shared" si="1"/>
        <v>219.35117202292574</v>
      </c>
      <c r="O7" s="69">
        <f t="shared" si="1"/>
        <v>181.76889683531044</v>
      </c>
      <c r="P7" s="69">
        <f t="shared" si="1"/>
        <v>142.80325058771786</v>
      </c>
      <c r="Q7" s="69">
        <f t="shared" si="1"/>
        <v>102.75078537619228</v>
      </c>
      <c r="R7" s="69">
        <f t="shared" si="1"/>
        <v>61.9163246453337</v>
      </c>
    </row>
    <row r="8" spans="1:21" s="2" customFormat="1" ht="15" customHeight="1">
      <c r="A8" s="2" t="s">
        <v>51</v>
      </c>
      <c r="B8" s="2" t="s">
        <v>45</v>
      </c>
      <c r="C8" s="13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15" customHeight="1">
      <c r="A9" s="2" t="s">
        <v>52</v>
      </c>
      <c r="B9" s="2" t="s">
        <v>46</v>
      </c>
      <c r="C9" s="13">
        <v>-11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" customFormat="1" ht="15" customHeight="1">
      <c r="A10" s="2" t="s">
        <v>53</v>
      </c>
      <c r="B10" s="2" t="s">
        <v>47</v>
      </c>
      <c r="C10" s="13">
        <v>100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15" customHeight="1">
      <c r="A11" s="2" t="s">
        <v>54</v>
      </c>
      <c r="B11" s="2" t="s">
        <v>44</v>
      </c>
      <c r="C11" s="13">
        <v>-1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" customFormat="1" ht="15" customHeight="1">
      <c r="A12" s="2" t="s">
        <v>55</v>
      </c>
      <c r="B12" s="2" t="s">
        <v>57</v>
      </c>
      <c r="C12" s="13">
        <v>105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" customFormat="1" ht="15" customHeight="1">
      <c r="A13" s="2" t="s">
        <v>56</v>
      </c>
      <c r="B13" s="2" t="s">
        <v>58</v>
      </c>
      <c r="C13" s="13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5" customHeight="1">
      <c r="B14" s="1" t="s">
        <v>68</v>
      </c>
      <c r="C14" s="1">
        <f>SQRT((POWER($C$10,2))+POWER($C$11,2))</f>
        <v>100.00499987500625</v>
      </c>
      <c r="S14" s="5"/>
      <c r="T14" s="5"/>
      <c r="U14" s="5"/>
    </row>
    <row r="15" spans="1:21" ht="15" customHeight="1">
      <c r="A15" s="1" t="s">
        <v>74</v>
      </c>
      <c r="B15" s="1" t="s">
        <v>69</v>
      </c>
      <c r="C15" s="1">
        <f>(ATAN($C$11/$C$10))*180/PI()</f>
        <v>-0.5729386976834859</v>
      </c>
      <c r="S15" s="5"/>
      <c r="T15" s="5"/>
      <c r="U15" s="5"/>
    </row>
    <row r="16" spans="1:18" ht="15" customHeight="1">
      <c r="A16" s="1" t="s">
        <v>59</v>
      </c>
      <c r="B16" s="3" t="s">
        <v>66</v>
      </c>
      <c r="C16" s="1">
        <f aca="true" t="shared" si="2" ref="C16:R16">$C$15+C1</f>
        <v>-0.5729386976834859</v>
      </c>
      <c r="D16" s="1">
        <f t="shared" si="2"/>
        <v>4.427061302316514</v>
      </c>
      <c r="E16" s="1">
        <f t="shared" si="2"/>
        <v>9.427061302316513</v>
      </c>
      <c r="F16" s="1">
        <f t="shared" si="2"/>
        <v>14.427061302316513</v>
      </c>
      <c r="G16" s="1">
        <f t="shared" si="2"/>
        <v>19.427061302316513</v>
      </c>
      <c r="H16" s="1">
        <f t="shared" si="2"/>
        <v>24.427061302316513</v>
      </c>
      <c r="I16" s="1">
        <f t="shared" si="2"/>
        <v>29.427061302316513</v>
      </c>
      <c r="J16" s="1">
        <f t="shared" si="2"/>
        <v>34.42706130231652</v>
      </c>
      <c r="K16" s="1">
        <f t="shared" si="2"/>
        <v>39.42706130231652</v>
      </c>
      <c r="L16" s="1">
        <f t="shared" si="2"/>
        <v>44.42706130231652</v>
      </c>
      <c r="M16" s="1">
        <f t="shared" si="2"/>
        <v>49.42706130231652</v>
      </c>
      <c r="N16" s="1">
        <f t="shared" si="2"/>
        <v>54.42706130231652</v>
      </c>
      <c r="O16" s="1">
        <f t="shared" si="2"/>
        <v>59.42706130231652</v>
      </c>
      <c r="P16" s="1">
        <f t="shared" si="2"/>
        <v>64.42706130231652</v>
      </c>
      <c r="Q16" s="1">
        <f t="shared" si="2"/>
        <v>69.42706130231652</v>
      </c>
      <c r="R16" s="1">
        <f t="shared" si="2"/>
        <v>74.42706130231652</v>
      </c>
    </row>
    <row r="17" spans="1:18" ht="15" customHeight="1">
      <c r="A17" s="1" t="s">
        <v>70</v>
      </c>
      <c r="B17" s="3"/>
      <c r="C17" s="1">
        <f aca="true" t="shared" si="3" ref="C17:R17">$C$14*COS(C16*PI()/180)</f>
        <v>100</v>
      </c>
      <c r="D17" s="1">
        <f t="shared" si="3"/>
        <v>99.70662555192222</v>
      </c>
      <c r="E17" s="1">
        <f t="shared" si="3"/>
        <v>98.65442347888774</v>
      </c>
      <c r="F17" s="1">
        <f t="shared" si="3"/>
        <v>96.85140167400935</v>
      </c>
      <c r="G17" s="1">
        <f t="shared" si="3"/>
        <v>94.31128222191651</v>
      </c>
      <c r="H17" s="1">
        <f t="shared" si="3"/>
        <v>91.0533969654057</v>
      </c>
      <c r="I17" s="1">
        <f t="shared" si="3"/>
        <v>87.10254037844388</v>
      </c>
      <c r="J17" s="1">
        <f t="shared" si="3"/>
        <v>82.48878086525022</v>
      </c>
      <c r="K17" s="1">
        <f t="shared" si="3"/>
        <v>77.24723192158434</v>
      </c>
      <c r="L17" s="1">
        <f t="shared" si="3"/>
        <v>71.4177848998413</v>
      </c>
      <c r="M17" s="1">
        <f t="shared" si="3"/>
        <v>65.0448054117729</v>
      </c>
      <c r="N17" s="1">
        <f t="shared" si="3"/>
        <v>58.1767956793936</v>
      </c>
      <c r="O17" s="1">
        <f t="shared" si="3"/>
        <v>50.866025403784434</v>
      </c>
      <c r="P17" s="1">
        <f t="shared" si="3"/>
        <v>43.1681339611066</v>
      </c>
      <c r="Q17" s="1">
        <f t="shared" si="3"/>
        <v>35.141706953352774</v>
      </c>
      <c r="R17" s="1">
        <f t="shared" si="3"/>
        <v>26.847830336541147</v>
      </c>
    </row>
    <row r="18" spans="1:18" ht="15" customHeight="1">
      <c r="A18" s="1" t="s">
        <v>71</v>
      </c>
      <c r="B18" s="3"/>
      <c r="C18" s="1">
        <f aca="true" t="shared" si="4" ref="C18:R18">$C$14*SIN(C16*PI()/180)</f>
        <v>-1</v>
      </c>
      <c r="D18" s="1">
        <f t="shared" si="4"/>
        <v>7.719379576674073</v>
      </c>
      <c r="E18" s="1">
        <f t="shared" si="4"/>
        <v>16.380010013680824</v>
      </c>
      <c r="F18" s="1">
        <f t="shared" si="4"/>
        <v>24.915978683963004</v>
      </c>
      <c r="G18" s="1">
        <f t="shared" si="4"/>
        <v>33.26232171178096</v>
      </c>
      <c r="H18" s="1">
        <f t="shared" si="4"/>
        <v>41.35551838703329</v>
      </c>
      <c r="I18" s="1">
        <f t="shared" si="4"/>
        <v>49.13397459621555</v>
      </c>
      <c r="J18" s="1">
        <f t="shared" si="4"/>
        <v>56.53849159081562</v>
      </c>
      <c r="K18" s="1">
        <f t="shared" si="4"/>
        <v>63.51271652553496</v>
      </c>
      <c r="L18" s="1">
        <f t="shared" si="4"/>
        <v>70.0035713374682</v>
      </c>
      <c r="M18" s="1">
        <f t="shared" si="4"/>
        <v>75.96165670221126</v>
      </c>
      <c r="N18" s="1">
        <f t="shared" si="4"/>
        <v>81.34162799254814</v>
      </c>
      <c r="O18" s="1">
        <f t="shared" si="4"/>
        <v>86.10254037844386</v>
      </c>
      <c r="P18" s="1">
        <f t="shared" si="4"/>
        <v>90.20816044192429</v>
      </c>
      <c r="Q18" s="1">
        <f t="shared" si="4"/>
        <v>93.62724193526516</v>
      </c>
      <c r="R18" s="1">
        <f t="shared" si="4"/>
        <v>96.33376358380431</v>
      </c>
    </row>
    <row r="19" spans="2:18" ht="15" customHeight="1">
      <c r="B19" s="3" t="s">
        <v>48</v>
      </c>
      <c r="C19" s="1">
        <f>(ATAN(ABS((C18-$C$9)/(C17-$C$8))))*180/PI()-C16</f>
        <v>7.361913272122276</v>
      </c>
      <c r="D19" s="1">
        <f aca="true" t="shared" si="5" ref="D19:R19">(ATAN(ABS((D18-$C$9)/(D17-$C$8))))*180/PI()-D16</f>
        <v>8.178631040326788</v>
      </c>
      <c r="E19" s="1">
        <f t="shared" si="5"/>
        <v>8.900848268868899</v>
      </c>
      <c r="F19" s="1">
        <f t="shared" si="5"/>
        <v>9.524788293026713</v>
      </c>
      <c r="G19" s="1">
        <f t="shared" si="5"/>
        <v>10.048507791458789</v>
      </c>
      <c r="H19" s="1">
        <f t="shared" si="5"/>
        <v>10.471677238567555</v>
      </c>
      <c r="I19" s="1">
        <f t="shared" si="5"/>
        <v>10.795340771008949</v>
      </c>
      <c r="J19" s="1">
        <f t="shared" si="5"/>
        <v>11.021673969673792</v>
      </c>
      <c r="K19" s="1">
        <f t="shared" si="5"/>
        <v>11.153753219002823</v>
      </c>
      <c r="L19" s="1">
        <f t="shared" si="5"/>
        <v>11.195345650503349</v>
      </c>
      <c r="M19" s="1">
        <f t="shared" si="5"/>
        <v>11.150724685593644</v>
      </c>
      <c r="N19" s="1">
        <f t="shared" si="5"/>
        <v>11.024513071556711</v>
      </c>
      <c r="O19" s="1">
        <f t="shared" si="5"/>
        <v>10.821553066718238</v>
      </c>
      <c r="P19" s="1">
        <f t="shared" si="5"/>
        <v>10.546801975340088</v>
      </c>
      <c r="Q19" s="1">
        <f t="shared" si="5"/>
        <v>10.205250406022586</v>
      </c>
      <c r="R19" s="1">
        <f t="shared" si="5"/>
        <v>9.801860268085463</v>
      </c>
    </row>
    <row r="20" spans="2:18" ht="15" customHeight="1">
      <c r="B20" s="3" t="s">
        <v>62</v>
      </c>
      <c r="C20" s="1">
        <f aca="true" t="shared" si="6" ref="C20:R20">$C$14*SIN(C19*PI()/180)</f>
        <v>12.814277252706178</v>
      </c>
      <c r="D20" s="1">
        <f t="shared" si="6"/>
        <v>14.226689094509435</v>
      </c>
      <c r="E20" s="1">
        <f t="shared" si="6"/>
        <v>15.473274916926837</v>
      </c>
      <c r="F20" s="1">
        <f t="shared" si="6"/>
        <v>16.548256787739664</v>
      </c>
      <c r="G20" s="1">
        <f t="shared" si="6"/>
        <v>17.449059781377876</v>
      </c>
      <c r="H20" s="1">
        <f t="shared" si="6"/>
        <v>18.175854257714988</v>
      </c>
      <c r="I20" s="1">
        <f t="shared" si="6"/>
        <v>18.7310800298466</v>
      </c>
      <c r="J20" s="1">
        <f t="shared" si="6"/>
        <v>19.118987251683393</v>
      </c>
      <c r="K20" s="1">
        <f t="shared" si="6"/>
        <v>19.345217353015276</v>
      </c>
      <c r="L20" s="1">
        <f t="shared" si="6"/>
        <v>19.41643714300918</v>
      </c>
      <c r="M20" s="1">
        <f t="shared" si="6"/>
        <v>19.340031118756894</v>
      </c>
      <c r="N20" s="1">
        <f t="shared" si="6"/>
        <v>19.123851240562487</v>
      </c>
      <c r="O20" s="1">
        <f t="shared" si="6"/>
        <v>18.776019756332005</v>
      </c>
      <c r="P20" s="1">
        <f t="shared" si="6"/>
        <v>18.304778666961</v>
      </c>
      <c r="Q20" s="1">
        <f t="shared" si="6"/>
        <v>17.71837867079989</v>
      </c>
      <c r="R20" s="1">
        <f t="shared" si="6"/>
        <v>17.025000496775995</v>
      </c>
    </row>
    <row r="21" spans="2:3" ht="15" customHeight="1">
      <c r="B21" s="3" t="s">
        <v>67</v>
      </c>
      <c r="C21" s="1">
        <f>SQRT(POWER($C$12,2)+POWER($C$13,2))</f>
        <v>105.11898020814318</v>
      </c>
    </row>
    <row r="22" spans="1:3" ht="15" customHeight="1">
      <c r="A22" s="1" t="s">
        <v>75</v>
      </c>
      <c r="B22" s="3" t="s">
        <v>65</v>
      </c>
      <c r="C22" s="1">
        <f>(ATAN($C$13/$C$12))*180/PI()</f>
        <v>2.726310993906266</v>
      </c>
    </row>
    <row r="23" spans="1:18" ht="15" customHeight="1">
      <c r="A23" s="1" t="s">
        <v>60</v>
      </c>
      <c r="B23" s="41" t="s">
        <v>61</v>
      </c>
      <c r="C23" s="1">
        <f aca="true" t="shared" si="7" ref="C23:I23">$C$22+C1</f>
        <v>2.726310993906266</v>
      </c>
      <c r="D23" s="1">
        <f t="shared" si="7"/>
        <v>7.7263109939062655</v>
      </c>
      <c r="E23" s="1">
        <f t="shared" si="7"/>
        <v>12.726310993906266</v>
      </c>
      <c r="F23" s="1">
        <f t="shared" si="7"/>
        <v>17.726310993906267</v>
      </c>
      <c r="G23" s="1">
        <f t="shared" si="7"/>
        <v>22.726310993906267</v>
      </c>
      <c r="H23" s="1">
        <f t="shared" si="7"/>
        <v>27.726310993906267</v>
      </c>
      <c r="I23" s="1">
        <f t="shared" si="7"/>
        <v>32.72631099390627</v>
      </c>
      <c r="J23" s="1">
        <f aca="true" t="shared" si="8" ref="J23:R23">$C$22+J1</f>
        <v>37.72631099390627</v>
      </c>
      <c r="K23" s="1">
        <f t="shared" si="8"/>
        <v>42.72631099390627</v>
      </c>
      <c r="L23" s="1">
        <f t="shared" si="8"/>
        <v>47.72631099390627</v>
      </c>
      <c r="M23" s="1">
        <f t="shared" si="8"/>
        <v>52.72631099390627</v>
      </c>
      <c r="N23" s="1">
        <f t="shared" si="8"/>
        <v>57.72631099390627</v>
      </c>
      <c r="O23" s="1">
        <f t="shared" si="8"/>
        <v>62.72631099390627</v>
      </c>
      <c r="P23" s="1">
        <f t="shared" si="8"/>
        <v>67.72631099390627</v>
      </c>
      <c r="Q23" s="1">
        <f t="shared" si="8"/>
        <v>72.72631099390627</v>
      </c>
      <c r="R23" s="1">
        <f t="shared" si="8"/>
        <v>77.72631099390627</v>
      </c>
    </row>
    <row r="24" spans="1:18" ht="15" customHeight="1">
      <c r="A24" s="1" t="s">
        <v>72</v>
      </c>
      <c r="B24" s="41"/>
      <c r="C24" s="1">
        <f aca="true" t="shared" si="9" ref="C24:I24">$C$21*COS(C23*PI()/180)</f>
        <v>105</v>
      </c>
      <c r="D24" s="1">
        <f t="shared" si="9"/>
        <v>104.16466458589498</v>
      </c>
      <c r="E24" s="1">
        <f t="shared" si="9"/>
        <v>102.53657317794719</v>
      </c>
      <c r="F24" s="1">
        <f t="shared" si="9"/>
        <v>100.12811653483956</v>
      </c>
      <c r="G24" s="1">
        <f t="shared" si="9"/>
        <v>96.95762446589204</v>
      </c>
      <c r="H24" s="1">
        <f t="shared" si="9"/>
        <v>93.04922633014475</v>
      </c>
      <c r="I24" s="1">
        <f t="shared" si="9"/>
        <v>88.43266739736605</v>
      </c>
      <c r="J24" s="1">
        <f aca="true" t="shared" si="10" ref="J24:R24">$C$21*COS(J23*PI()/180)</f>
        <v>83.1430824685889</v>
      </c>
      <c r="K24" s="1">
        <f t="shared" si="10"/>
        <v>77.22072847906</v>
      </c>
      <c r="L24" s="1">
        <f t="shared" si="10"/>
        <v>70.71067811865474</v>
      </c>
      <c r="M24" s="1">
        <f t="shared" si="10"/>
        <v>63.66247680149173</v>
      </c>
      <c r="N24" s="1">
        <f t="shared" si="10"/>
        <v>56.12976559541488</v>
      </c>
      <c r="O24" s="1">
        <f t="shared" si="10"/>
        <v>48.1698729810778</v>
      </c>
      <c r="P24" s="1">
        <f t="shared" si="10"/>
        <v>39.84337854759019</v>
      </c>
      <c r="Q24" s="1">
        <f t="shared" si="10"/>
        <v>31.213651945265692</v>
      </c>
      <c r="R24" s="1">
        <f t="shared" si="10"/>
        <v>22.34637060431934</v>
      </c>
    </row>
    <row r="25" spans="1:18" ht="15" customHeight="1">
      <c r="A25" s="1" t="s">
        <v>73</v>
      </c>
      <c r="B25" s="41"/>
      <c r="C25" s="1">
        <f aca="true" t="shared" si="11" ref="C25:I25">$C$21*SIN(C23*PI()/180)</f>
        <v>5</v>
      </c>
      <c r="D25" s="1">
        <f t="shared" si="11"/>
        <v>14.132326478962833</v>
      </c>
      <c r="E25" s="1">
        <f t="shared" si="11"/>
        <v>23.15709742008873</v>
      </c>
      <c r="F25" s="1">
        <f t="shared" si="11"/>
        <v>32.00562886721002</v>
      </c>
      <c r="G25" s="1">
        <f t="shared" si="11"/>
        <v>40.610578153124756</v>
      </c>
      <c r="H25" s="1">
        <f t="shared" si="11"/>
        <v>48.90645641795669</v>
      </c>
      <c r="I25" s="1">
        <f t="shared" si="11"/>
        <v>56.83012701892219</v>
      </c>
      <c r="J25" s="1">
        <f aca="true" t="shared" si="12" ref="J25:R25">$C$21*SIN(J23*PI()/180)</f>
        <v>64.32128603830479</v>
      </c>
      <c r="K25" s="1">
        <f t="shared" si="12"/>
        <v>71.32292123268152</v>
      </c>
      <c r="L25" s="1">
        <f t="shared" si="12"/>
        <v>77.78174593052022</v>
      </c>
      <c r="M25" s="1">
        <f t="shared" si="12"/>
        <v>83.64860457592539</v>
      </c>
      <c r="N25" s="1">
        <f t="shared" si="12"/>
        <v>88.87884683209936</v>
      </c>
      <c r="O25" s="1">
        <f t="shared" si="12"/>
        <v>93.43266739736606</v>
      </c>
      <c r="P25" s="1">
        <f t="shared" si="12"/>
        <v>97.27540894755174</v>
      </c>
      <c r="Q25" s="1">
        <f t="shared" si="12"/>
        <v>100.3778258991487</v>
      </c>
      <c r="R25" s="1">
        <f t="shared" si="12"/>
        <v>102.71630698586478</v>
      </c>
    </row>
    <row r="26" spans="1:18" ht="15" customHeight="1">
      <c r="A26" s="1" t="s">
        <v>63</v>
      </c>
      <c r="B26" s="3" t="s">
        <v>64</v>
      </c>
      <c r="C26" s="1">
        <f aca="true" t="shared" si="13" ref="C26:I26">(ATAN((C25-$C$9)/(C24-$C$8)))*180/PI()</f>
        <v>10.191501850027691</v>
      </c>
      <c r="D26" s="1">
        <f t="shared" si="13"/>
        <v>15.91079579869562</v>
      </c>
      <c r="E26" s="1">
        <f t="shared" si="13"/>
        <v>21.539786575531156</v>
      </c>
      <c r="F26" s="1">
        <f t="shared" si="13"/>
        <v>27.075759472783435</v>
      </c>
      <c r="G26" s="1">
        <f t="shared" si="13"/>
        <v>32.517557190703315</v>
      </c>
      <c r="H26" s="1">
        <f t="shared" si="13"/>
        <v>37.86538225628409</v>
      </c>
      <c r="I26" s="1">
        <f t="shared" si="13"/>
        <v>43.12058819017056</v>
      </c>
      <c r="J26" s="1">
        <f aca="true" t="shared" si="14" ref="J26:R26">(ATAN((J25-$C$9)/(J24-$C$8)))*180/PI()</f>
        <v>48.28547312387846</v>
      </c>
      <c r="K26" s="1">
        <f t="shared" si="14"/>
        <v>53.36308574193534</v>
      </c>
      <c r="L26" s="1">
        <f t="shared" si="14"/>
        <v>58.35704987934908</v>
      </c>
      <c r="M26" s="1">
        <f t="shared" si="14"/>
        <v>63.271411133645294</v>
      </c>
      <c r="N26" s="1">
        <f t="shared" si="14"/>
        <v>68.11050656089165</v>
      </c>
      <c r="O26" s="1">
        <f t="shared" si="14"/>
        <v>72.87885690029042</v>
      </c>
      <c r="P26" s="1">
        <f t="shared" si="14"/>
        <v>77.58107972457816</v>
      </c>
      <c r="Q26" s="1">
        <f t="shared" si="14"/>
        <v>82.2218213264892</v>
      </c>
      <c r="R26" s="1">
        <f t="shared" si="14"/>
        <v>86.80570490569285</v>
      </c>
    </row>
    <row r="27" spans="2:18" ht="15" customHeight="1">
      <c r="B27" s="3" t="s">
        <v>115</v>
      </c>
      <c r="C27" s="1">
        <f aca="true" t="shared" si="15" ref="C27:I27">C26-(ATAN(ABS((C18-$C$9)/(C17-$C$8))))*180/PI()</f>
        <v>3.402527275588901</v>
      </c>
      <c r="D27" s="1">
        <f t="shared" si="15"/>
        <v>3.3051034560523167</v>
      </c>
      <c r="E27" s="1">
        <f t="shared" si="15"/>
        <v>3.2118770043457445</v>
      </c>
      <c r="F27" s="1">
        <f t="shared" si="15"/>
        <v>3.1239098774402088</v>
      </c>
      <c r="G27" s="1">
        <f t="shared" si="15"/>
        <v>3.041988096928012</v>
      </c>
      <c r="H27" s="1">
        <f t="shared" si="15"/>
        <v>2.966643715400025</v>
      </c>
      <c r="I27" s="1">
        <f t="shared" si="15"/>
        <v>2.898186116845096</v>
      </c>
      <c r="J27" s="1">
        <f aca="true" t="shared" si="16" ref="J27:R27">J26-(ATAN(ABS((J18-$C$9)/(J17-$C$8))))*180/PI()</f>
        <v>2.8367378518881523</v>
      </c>
      <c r="K27" s="1">
        <f t="shared" si="16"/>
        <v>2.7822712206160034</v>
      </c>
      <c r="L27" s="1">
        <f t="shared" si="16"/>
        <v>2.7346429265292116</v>
      </c>
      <c r="M27" s="1">
        <f t="shared" si="16"/>
        <v>2.6936251457351332</v>
      </c>
      <c r="N27" s="1">
        <f t="shared" si="16"/>
        <v>2.658932187018422</v>
      </c>
      <c r="O27" s="1">
        <f t="shared" si="16"/>
        <v>2.6302425312556608</v>
      </c>
      <c r="P27" s="1">
        <f t="shared" si="16"/>
        <v>2.607216446921555</v>
      </c>
      <c r="Q27" s="1">
        <f t="shared" si="16"/>
        <v>2.589509618150103</v>
      </c>
      <c r="R27" s="1">
        <f t="shared" si="16"/>
        <v>2.5767833352908696</v>
      </c>
    </row>
    <row r="28" spans="2:18" ht="15" customHeight="1">
      <c r="B28" s="3" t="s">
        <v>76</v>
      </c>
      <c r="C28" s="1">
        <f>SQRT(POWER((C24-$C$8),2)+POWER((C25-$C$9),2))</f>
        <v>90.4267659490264</v>
      </c>
      <c r="D28" s="1">
        <f aca="true" t="shared" si="17" ref="D28:I28">SQRT(POWER((D24-$C$8),2)+POWER((D25-$C$9),2))</f>
        <v>91.67683412830387</v>
      </c>
      <c r="E28" s="1">
        <f t="shared" si="17"/>
        <v>93.03378849400707</v>
      </c>
      <c r="F28" s="1">
        <f t="shared" si="17"/>
        <v>94.48293023590956</v>
      </c>
      <c r="G28" s="1">
        <f t="shared" si="17"/>
        <v>96.0093158837214</v>
      </c>
      <c r="H28" s="1">
        <f t="shared" si="17"/>
        <v>97.59798562793402</v>
      </c>
      <c r="I28" s="1">
        <f t="shared" si="17"/>
        <v>99.23415459256239</v>
      </c>
      <c r="J28" s="1">
        <f aca="true" t="shared" si="18" ref="J28:R28">SQRT(POWER((J24-$C$8),2)+POWER((J25-$C$9),2))</f>
        <v>100.90336790141278</v>
      </c>
      <c r="K28" s="1">
        <f t="shared" si="18"/>
        <v>102.59162224952422</v>
      </c>
      <c r="L28" s="1">
        <f t="shared" si="18"/>
        <v>104.28545781015917</v>
      </c>
      <c r="M28" s="1">
        <f t="shared" si="18"/>
        <v>105.97202481326202</v>
      </c>
      <c r="N28" s="1">
        <f t="shared" si="18"/>
        <v>107.63912918289941</v>
      </c>
      <c r="O28" s="1">
        <f t="shared" si="18"/>
        <v>109.27526136938572</v>
      </c>
      <c r="P28" s="1">
        <f t="shared" si="18"/>
        <v>110.86961208249649</v>
      </c>
      <c r="Q28" s="1">
        <f t="shared" si="18"/>
        <v>112.41207812122666</v>
      </c>
      <c r="R28" s="1">
        <f t="shared" si="18"/>
        <v>113.89326096986953</v>
      </c>
    </row>
    <row r="29" spans="2:18" ht="15" customHeight="1">
      <c r="B29" s="3" t="s">
        <v>77</v>
      </c>
      <c r="C29" s="1">
        <f>C28*SIN(C27*PI()/180)</f>
        <v>5.3668651962441025</v>
      </c>
      <c r="D29" s="1">
        <f aca="true" t="shared" si="19" ref="D29:I29">D28*SIN(D27*PI()/180)</f>
        <v>5.285440039085782</v>
      </c>
      <c r="E29" s="1">
        <f t="shared" si="19"/>
        <v>5.212541144407288</v>
      </c>
      <c r="F29" s="1">
        <f t="shared" si="19"/>
        <v>5.148894873560888</v>
      </c>
      <c r="G29" s="1">
        <f t="shared" si="19"/>
        <v>5.095000134128677</v>
      </c>
      <c r="H29" s="1">
        <f t="shared" si="19"/>
        <v>5.0511416099518</v>
      </c>
      <c r="I29" s="1">
        <f t="shared" si="19"/>
        <v>5.017410079571377</v>
      </c>
      <c r="J29" s="1">
        <f aca="true" t="shared" si="20" ref="J29:R29">J28*SIN(J27*PI()/180)</f>
        <v>4.993726918188017</v>
      </c>
      <c r="K29" s="1">
        <f t="shared" si="20"/>
        <v>4.979870317518545</v>
      </c>
      <c r="L29" s="1">
        <f t="shared" si="20"/>
        <v>4.975501320768636</v>
      </c>
      <c r="M29" s="1">
        <f t="shared" si="20"/>
        <v>4.980188341499628</v>
      </c>
      <c r="N29" s="1">
        <f t="shared" si="20"/>
        <v>4.993429343243801</v>
      </c>
      <c r="O29" s="1">
        <f t="shared" si="20"/>
        <v>5.014671266501033</v>
      </c>
      <c r="P29" s="1">
        <f t="shared" si="20"/>
        <v>5.043326593586161</v>
      </c>
      <c r="Q29" s="1">
        <f t="shared" si="20"/>
        <v>5.078787148655227</v>
      </c>
      <c r="R29" s="1">
        <f t="shared" si="20"/>
        <v>5.120435357084662</v>
      </c>
    </row>
    <row r="30" ht="15" customHeight="1">
      <c r="B30" s="3"/>
    </row>
    <row r="31" ht="15" customHeight="1">
      <c r="B31" s="3"/>
    </row>
    <row r="32" spans="2:18" ht="15" customHeight="1">
      <c r="B32" s="3" t="s">
        <v>41</v>
      </c>
      <c r="C32" s="1">
        <f>SQRT((POWER((C17)-($C$8),2))+(POWER((C18)-($C$9),2)))</f>
        <v>84.5931439302264</v>
      </c>
      <c r="D32" s="1">
        <f>SQRT((POWER((D17)-($C$8),2))+(POWER((D18)-($C$9),2)))</f>
        <v>85.77420552255391</v>
      </c>
      <c r="E32" s="1">
        <f>SQRT((POWER((E17)-($C$8),2))+(POWER((E18)-($C$9),2)))</f>
        <v>87.07134240940914</v>
      </c>
      <c r="F32" s="1">
        <f>SQRT((POWER((F17)-($C$8),2))+(POWER((F18)-($C$9),2)))</f>
        <v>88.46980658664789</v>
      </c>
      <c r="G32" s="1">
        <f aca="true" t="shared" si="21" ref="G32:R32">SQRT((POWER((G17)-($C$8),2))+(POWER((G18)-($C$9),2)))</f>
        <v>89.95448875157845</v>
      </c>
      <c r="H32" s="1">
        <f t="shared" si="21"/>
        <v>91.51017813129724</v>
      </c>
      <c r="I32" s="1">
        <f t="shared" si="21"/>
        <v>93.1217812813229</v>
      </c>
      <c r="J32" s="1">
        <f t="shared" si="21"/>
        <v>94.77449987897555</v>
      </c>
      <c r="K32" s="1">
        <f t="shared" si="21"/>
        <v>96.45397006899752</v>
      </c>
      <c r="L32" s="1">
        <f t="shared" si="21"/>
        <v>98.14636749584459</v>
      </c>
      <c r="M32" s="1">
        <f t="shared" si="21"/>
        <v>99.83848293254417</v>
      </c>
      <c r="N32" s="1">
        <f t="shared" si="21"/>
        <v>101.5177735871678</v>
      </c>
      <c r="O32" s="1">
        <f t="shared" si="21"/>
        <v>103.17239492909265</v>
      </c>
      <c r="P32" s="1">
        <f t="shared" si="21"/>
        <v>104.79121739424026</v>
      </c>
      <c r="Q32" s="1">
        <f t="shared" si="21"/>
        <v>106.36383172896952</v>
      </c>
      <c r="R32" s="1">
        <f t="shared" si="21"/>
        <v>107.88054610574781</v>
      </c>
    </row>
    <row r="33" spans="2:3" s="2" customFormat="1" ht="15" customHeight="1">
      <c r="B33" s="3" t="s">
        <v>80</v>
      </c>
      <c r="C33" s="13">
        <v>15</v>
      </c>
    </row>
    <row r="34" spans="2:3" s="2" customFormat="1" ht="15" customHeight="1">
      <c r="B34" s="3" t="s">
        <v>79</v>
      </c>
      <c r="C34" s="13">
        <v>10</v>
      </c>
    </row>
    <row r="35" spans="2:18" ht="15" customHeight="1">
      <c r="B35" s="3" t="s">
        <v>42</v>
      </c>
      <c r="C35" s="1">
        <f>C32-$C$33-$C$34</f>
        <v>59.593143930226404</v>
      </c>
      <c r="D35" s="1">
        <f aca="true" t="shared" si="22" ref="D35:R35">D32-$C$33-$C$34</f>
        <v>60.77420552255391</v>
      </c>
      <c r="E35" s="1">
        <f t="shared" si="22"/>
        <v>62.07134240940914</v>
      </c>
      <c r="F35" s="1">
        <f t="shared" si="22"/>
        <v>63.46980658664789</v>
      </c>
      <c r="G35" s="1">
        <f t="shared" si="22"/>
        <v>64.95448875157845</v>
      </c>
      <c r="H35" s="1">
        <f t="shared" si="22"/>
        <v>66.51017813129724</v>
      </c>
      <c r="I35" s="1">
        <f t="shared" si="22"/>
        <v>68.1217812813229</v>
      </c>
      <c r="J35" s="1">
        <f t="shared" si="22"/>
        <v>69.77449987897555</v>
      </c>
      <c r="K35" s="1">
        <f t="shared" si="22"/>
        <v>71.45397006899752</v>
      </c>
      <c r="L35" s="1">
        <f t="shared" si="22"/>
        <v>73.14636749584459</v>
      </c>
      <c r="M35" s="1">
        <f t="shared" si="22"/>
        <v>74.83848293254417</v>
      </c>
      <c r="N35" s="1">
        <f t="shared" si="22"/>
        <v>76.5177735871678</v>
      </c>
      <c r="O35" s="1">
        <f t="shared" si="22"/>
        <v>78.17239492909265</v>
      </c>
      <c r="P35" s="1">
        <f t="shared" si="22"/>
        <v>79.79121739424026</v>
      </c>
      <c r="Q35" s="1">
        <f t="shared" si="22"/>
        <v>81.36383172896952</v>
      </c>
      <c r="R35" s="1">
        <f t="shared" si="22"/>
        <v>82.88054610574781</v>
      </c>
    </row>
    <row r="36" spans="1:3" ht="15" customHeight="1">
      <c r="A36" s="1" t="s">
        <v>118</v>
      </c>
      <c r="B36" s="3"/>
      <c r="C36" s="68">
        <f>'圧縮コイルばね'!$B$8</f>
        <v>0.6141530495500982</v>
      </c>
    </row>
    <row r="37" spans="1:3" ht="15" customHeight="1">
      <c r="A37" s="1" t="s">
        <v>119</v>
      </c>
      <c r="B37" s="3"/>
      <c r="C37" s="68">
        <f>'圧縮コイルばね'!$B$11</f>
        <v>87</v>
      </c>
    </row>
    <row r="38" spans="2:18" ht="15" customHeight="1">
      <c r="B38" s="1" t="s">
        <v>30</v>
      </c>
      <c r="C38" s="1">
        <f>($C$37-C35)*$C$36*C20</f>
        <v>215.68996897104842</v>
      </c>
      <c r="D38" s="1">
        <f aca="true" t="shared" si="23" ref="D38:R38">($C$37-D35)*$C$36*D20</f>
        <v>229.1443254520626</v>
      </c>
      <c r="E38" s="1">
        <f t="shared" si="23"/>
        <v>236.89601042902336</v>
      </c>
      <c r="F38" s="1">
        <f t="shared" si="23"/>
        <v>239.14117627924804</v>
      </c>
      <c r="G38" s="1">
        <f t="shared" si="23"/>
        <v>236.24836851992472</v>
      </c>
      <c r="H38" s="1">
        <f t="shared" si="23"/>
        <v>228.72288857188315</v>
      </c>
      <c r="I38" s="1">
        <f t="shared" si="23"/>
        <v>217.17030710676497</v>
      </c>
      <c r="J38" s="1">
        <f t="shared" si="23"/>
        <v>202.26155241016284</v>
      </c>
      <c r="K38" s="1">
        <f>($C$37-K35)*$C$36*K20</f>
        <v>184.7012037118636</v>
      </c>
      <c r="L38" s="1">
        <f t="shared" si="23"/>
        <v>165.19991393829244</v>
      </c>
      <c r="M38" s="1">
        <f t="shared" si="23"/>
        <v>144.45132666555895</v>
      </c>
      <c r="N38" s="1">
        <f t="shared" si="23"/>
        <v>123.11345108882686</v>
      </c>
      <c r="O38" s="1">
        <f t="shared" si="23"/>
        <v>101.79420189618403</v>
      </c>
      <c r="P38" s="1">
        <f t="shared" si="23"/>
        <v>81.04067009420591</v>
      </c>
      <c r="Q38" s="1">
        <f t="shared" si="23"/>
        <v>61.33163500268</v>
      </c>
      <c r="R38" s="1">
        <f t="shared" si="23"/>
        <v>43.07282855393399</v>
      </c>
    </row>
    <row r="39" spans="1:3" ht="15" customHeight="1">
      <c r="A39" s="1" t="s">
        <v>120</v>
      </c>
      <c r="B39" s="1" t="s">
        <v>37</v>
      </c>
      <c r="C39" s="12">
        <v>4</v>
      </c>
    </row>
    <row r="40" spans="1:18" ht="15" customHeight="1">
      <c r="A40" s="1" t="s">
        <v>78</v>
      </c>
      <c r="B40" s="9" t="s">
        <v>36</v>
      </c>
      <c r="C40" s="9">
        <f>$C$39*C38</f>
        <v>862.7598758841937</v>
      </c>
      <c r="D40" s="9">
        <f aca="true" t="shared" si="24" ref="D40:R40">$C$39*D38</f>
        <v>916.5773018082504</v>
      </c>
      <c r="E40" s="9">
        <f t="shared" si="24"/>
        <v>947.5840417160935</v>
      </c>
      <c r="F40" s="9">
        <f t="shared" si="24"/>
        <v>956.5647051169922</v>
      </c>
      <c r="G40" s="9">
        <f t="shared" si="24"/>
        <v>944.9934740796989</v>
      </c>
      <c r="H40" s="9">
        <f t="shared" si="24"/>
        <v>914.8915542875326</v>
      </c>
      <c r="I40" s="9">
        <f t="shared" si="24"/>
        <v>868.6812284270599</v>
      </c>
      <c r="J40" s="9">
        <f t="shared" si="24"/>
        <v>809.0462096406513</v>
      </c>
      <c r="K40" s="9">
        <f t="shared" si="24"/>
        <v>738.8048148474544</v>
      </c>
      <c r="L40" s="9">
        <f t="shared" si="24"/>
        <v>660.7996557531698</v>
      </c>
      <c r="M40" s="9">
        <f t="shared" si="24"/>
        <v>577.8053066622358</v>
      </c>
      <c r="N40" s="9">
        <f t="shared" si="24"/>
        <v>492.45380435530745</v>
      </c>
      <c r="O40" s="9">
        <f t="shared" si="24"/>
        <v>407.17680758473614</v>
      </c>
      <c r="P40" s="9">
        <f t="shared" si="24"/>
        <v>324.16268037682363</v>
      </c>
      <c r="Q40" s="9">
        <f t="shared" si="24"/>
        <v>245.32654001072</v>
      </c>
      <c r="R40" s="9">
        <f t="shared" si="24"/>
        <v>172.29131421573595</v>
      </c>
    </row>
    <row r="41" spans="1:18" ht="15" customHeight="1">
      <c r="A41" s="1" t="s">
        <v>50</v>
      </c>
      <c r="C41" s="1">
        <f aca="true" t="shared" si="25" ref="C41:R41">C40-C6</f>
        <v>-133.43482220755186</v>
      </c>
      <c r="D41" s="1">
        <f t="shared" si="25"/>
        <v>-68.23045120395761</v>
      </c>
      <c r="E41" s="1">
        <f t="shared" si="25"/>
        <v>-18.341784572974916</v>
      </c>
      <c r="F41" s="1">
        <f t="shared" si="25"/>
        <v>16.872084331083784</v>
      </c>
      <c r="G41" s="1">
        <f t="shared" si="25"/>
        <v>38.685687043048915</v>
      </c>
      <c r="H41" s="1">
        <f t="shared" si="25"/>
        <v>48.86615050309388</v>
      </c>
      <c r="I41" s="1">
        <f t="shared" si="25"/>
        <v>49.5291841380681</v>
      </c>
      <c r="J41" s="1">
        <f t="shared" si="25"/>
        <v>43.00176652167329</v>
      </c>
      <c r="K41" s="1">
        <f t="shared" si="25"/>
        <v>31.698033660906844</v>
      </c>
      <c r="L41" s="1">
        <f t="shared" si="25"/>
        <v>18.012046066630433</v>
      </c>
      <c r="M41" s="1">
        <f t="shared" si="25"/>
        <v>4.228870311189667</v>
      </c>
      <c r="N41" s="1">
        <f t="shared" si="25"/>
        <v>-7.546195644692659</v>
      </c>
      <c r="O41" s="1">
        <f t="shared" si="25"/>
        <v>-15.4414541559633</v>
      </c>
      <c r="P41" s="1">
        <f t="shared" si="25"/>
        <v>-17.857462948845182</v>
      </c>
      <c r="Q41" s="1">
        <f t="shared" si="25"/>
        <v>-13.492505091800751</v>
      </c>
      <c r="R41" s="1">
        <f t="shared" si="25"/>
        <v>-1.3568634511944708</v>
      </c>
    </row>
    <row r="42" ht="15" customHeight="1"/>
    <row r="43" spans="1:18" ht="15" customHeight="1">
      <c r="A43" s="1" t="s">
        <v>81</v>
      </c>
      <c r="B43" s="72"/>
      <c r="C43" s="73">
        <f>C29*($C$37-C35)*$C$36*$C$39</f>
        <v>361.34039082234693</v>
      </c>
      <c r="D43" s="73">
        <f aca="true" t="shared" si="26" ref="D43:R43">D29*($C$37-D35)*$C$36*$C$39</f>
        <v>340.52296621595553</v>
      </c>
      <c r="E43" s="73">
        <f t="shared" si="26"/>
        <v>319.2162507127413</v>
      </c>
      <c r="F43" s="73">
        <f t="shared" si="26"/>
        <v>297.6296035033251</v>
      </c>
      <c r="G43" s="73">
        <f t="shared" si="26"/>
        <v>275.93130733182636</v>
      </c>
      <c r="H43" s="73">
        <f t="shared" si="26"/>
        <v>254.25197258575514</v>
      </c>
      <c r="I43" s="73">
        <f t="shared" si="26"/>
        <v>232.68972982334063</v>
      </c>
      <c r="J43" s="73">
        <f t="shared" si="26"/>
        <v>211.31641451273927</v>
      </c>
      <c r="K43" s="73">
        <f t="shared" si="26"/>
        <v>190.18406982773783</v>
      </c>
      <c r="L43" s="73">
        <f t="shared" si="26"/>
        <v>169.33124938151283</v>
      </c>
      <c r="M43" s="73">
        <f t="shared" si="26"/>
        <v>148.7887601744895</v>
      </c>
      <c r="N43" s="73">
        <f t="shared" si="26"/>
        <v>128.58462691051068</v>
      </c>
      <c r="O43" s="73">
        <f t="shared" si="26"/>
        <v>108.74817260949047</v>
      </c>
      <c r="P43" s="73">
        <f t="shared" si="26"/>
        <v>89.31319500428727</v>
      </c>
      <c r="Q43" s="73">
        <f t="shared" si="26"/>
        <v>70.3202760128305</v>
      </c>
      <c r="R43" s="73">
        <f t="shared" si="26"/>
        <v>51.818297285565436</v>
      </c>
    </row>
    <row r="44" spans="2:18" ht="15" customHeight="1">
      <c r="B44" s="1" t="s">
        <v>110</v>
      </c>
      <c r="C44" s="1">
        <f>C7-C43</f>
        <v>109.8543072693987</v>
      </c>
      <c r="D44" s="1">
        <f aca="true" t="shared" si="27" ref="D44:J44">D7-D43</f>
        <v>123.46146386677759</v>
      </c>
      <c r="E44" s="1">
        <f t="shared" si="27"/>
        <v>134.026709686591</v>
      </c>
      <c r="F44" s="1">
        <f t="shared" si="27"/>
        <v>141.42243460838557</v>
      </c>
      <c r="G44" s="1">
        <f t="shared" si="27"/>
        <v>145.58835737536333</v>
      </c>
      <c r="H44" s="1">
        <f t="shared" si="27"/>
        <v>146.5272995479599</v>
      </c>
      <c r="I44" s="1">
        <f t="shared" si="27"/>
        <v>144.2989774788209</v>
      </c>
      <c r="J44" s="1">
        <f t="shared" si="27"/>
        <v>139.0126162632943</v>
      </c>
      <c r="K44" s="1">
        <f aca="true" t="shared" si="28" ref="K44:R44">K7-K43</f>
        <v>130.81906896350975</v>
      </c>
      <c r="L44" s="1">
        <f t="shared" si="28"/>
        <v>119.90296971175289</v>
      </c>
      <c r="M44" s="1">
        <f t="shared" si="28"/>
        <v>106.475292169098</v>
      </c>
      <c r="N44" s="1">
        <f t="shared" si="28"/>
        <v>90.76654511241506</v>
      </c>
      <c r="O44" s="1">
        <f t="shared" si="28"/>
        <v>73.02072422581998</v>
      </c>
      <c r="P44" s="1">
        <f t="shared" si="28"/>
        <v>53.49005558343059</v>
      </c>
      <c r="Q44" s="1">
        <f t="shared" si="28"/>
        <v>32.43050936336178</v>
      </c>
      <c r="R44" s="1">
        <f t="shared" si="28"/>
        <v>10.098027359768267</v>
      </c>
    </row>
    <row r="45" spans="1:3" ht="15" customHeight="1">
      <c r="A45" s="1" t="s">
        <v>116</v>
      </c>
      <c r="C45" s="68">
        <f>トーションコイルばね!B8</f>
        <v>2.180381004324281</v>
      </c>
    </row>
    <row r="46" spans="1:3" ht="15" customHeight="1">
      <c r="A46" s="1" t="s">
        <v>117</v>
      </c>
      <c r="C46" s="68">
        <f>トーションコイルばね!B9</f>
        <v>17</v>
      </c>
    </row>
    <row r="47" spans="1:3" ht="15" customHeight="1">
      <c r="A47" s="1" t="s">
        <v>113</v>
      </c>
      <c r="C47" s="5">
        <f>C45*C46</f>
        <v>37.06647707351278</v>
      </c>
    </row>
    <row r="48" spans="1:3" ht="15" customHeight="1">
      <c r="A48" s="1" t="s">
        <v>114</v>
      </c>
      <c r="C48" s="12">
        <v>4</v>
      </c>
    </row>
    <row r="49" spans="1:18" ht="15" customHeight="1">
      <c r="A49" s="1" t="s">
        <v>112</v>
      </c>
      <c r="B49" s="71"/>
      <c r="C49" s="71">
        <f>$C$47*$C$48</f>
        <v>148.26590829405112</v>
      </c>
      <c r="D49" s="71">
        <f aca="true" t="shared" si="29" ref="D49:R49">$C$47*$C$48</f>
        <v>148.26590829405112</v>
      </c>
      <c r="E49" s="71">
        <f t="shared" si="29"/>
        <v>148.26590829405112</v>
      </c>
      <c r="F49" s="71">
        <f t="shared" si="29"/>
        <v>148.26590829405112</v>
      </c>
      <c r="G49" s="71">
        <f t="shared" si="29"/>
        <v>148.26590829405112</v>
      </c>
      <c r="H49" s="71">
        <f t="shared" si="29"/>
        <v>148.26590829405112</v>
      </c>
      <c r="I49" s="71">
        <f t="shared" si="29"/>
        <v>148.26590829405112</v>
      </c>
      <c r="J49" s="71">
        <f t="shared" si="29"/>
        <v>148.26590829405112</v>
      </c>
      <c r="K49" s="71">
        <f t="shared" si="29"/>
        <v>148.26590829405112</v>
      </c>
      <c r="L49" s="71">
        <f t="shared" si="29"/>
        <v>148.26590829405112</v>
      </c>
      <c r="M49" s="71">
        <f t="shared" si="29"/>
        <v>148.26590829405112</v>
      </c>
      <c r="N49" s="71">
        <f t="shared" si="29"/>
        <v>148.26590829405112</v>
      </c>
      <c r="O49" s="71">
        <f t="shared" si="29"/>
        <v>148.26590829405112</v>
      </c>
      <c r="P49" s="71">
        <f t="shared" si="29"/>
        <v>148.26590829405112</v>
      </c>
      <c r="Q49" s="71">
        <f t="shared" si="29"/>
        <v>148.26590829405112</v>
      </c>
      <c r="R49" s="71">
        <f t="shared" si="29"/>
        <v>148.26590829405112</v>
      </c>
    </row>
    <row r="50" spans="1:18" ht="15" customHeight="1">
      <c r="A50" s="1" t="s">
        <v>111</v>
      </c>
      <c r="B50" s="70"/>
      <c r="C50" s="70">
        <f>C43+$C$49</f>
        <v>509.6062991163981</v>
      </c>
      <c r="D50" s="70">
        <f aca="true" t="shared" si="30" ref="D50:R50">D43+$C$49</f>
        <v>488.7888745100066</v>
      </c>
      <c r="E50" s="70">
        <f t="shared" si="30"/>
        <v>467.4821590067925</v>
      </c>
      <c r="F50" s="70">
        <f t="shared" si="30"/>
        <v>445.89551179737623</v>
      </c>
      <c r="G50" s="70">
        <f t="shared" si="30"/>
        <v>424.19721562587745</v>
      </c>
      <c r="H50" s="70">
        <f t="shared" si="30"/>
        <v>402.5178808798063</v>
      </c>
      <c r="I50" s="70">
        <f t="shared" si="30"/>
        <v>380.95563811739174</v>
      </c>
      <c r="J50" s="70">
        <f t="shared" si="30"/>
        <v>359.5823228067904</v>
      </c>
      <c r="K50" s="70">
        <f t="shared" si="30"/>
        <v>338.44997812178894</v>
      </c>
      <c r="L50" s="70">
        <f t="shared" si="30"/>
        <v>317.59715767556395</v>
      </c>
      <c r="M50" s="70">
        <f t="shared" si="30"/>
        <v>297.0546684685406</v>
      </c>
      <c r="N50" s="70">
        <f t="shared" si="30"/>
        <v>276.85053520456177</v>
      </c>
      <c r="O50" s="70">
        <f t="shared" si="30"/>
        <v>257.0140809035416</v>
      </c>
      <c r="P50" s="70">
        <f t="shared" si="30"/>
        <v>237.5791032983384</v>
      </c>
      <c r="Q50" s="70">
        <f t="shared" si="30"/>
        <v>218.58618430688162</v>
      </c>
      <c r="R50" s="70">
        <f t="shared" si="30"/>
        <v>200.08420557961654</v>
      </c>
    </row>
    <row r="51" ht="15" customHeight="1"/>
    <row r="52" ht="15" customHeight="1"/>
  </sheetData>
  <printOptions/>
  <pageMargins left="0.5905511811023623" right="0.1968503937007874" top="0.7874015748031497" bottom="0.1968503937007874" header="0.5118110236220472" footer="0.5118110236220472"/>
  <pageSetup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00390625" defaultRowHeight="13.5"/>
  <cols>
    <col min="1" max="1" width="25.625" style="14" customWidth="1"/>
    <col min="2" max="26" width="10.625" style="14" customWidth="1"/>
    <col min="27" max="16384" width="9.00390625" style="14" customWidth="1"/>
  </cols>
  <sheetData>
    <row r="1" spans="2:7" ht="13.5">
      <c r="B1" s="7"/>
      <c r="C1" s="7"/>
      <c r="D1" s="7"/>
      <c r="E1" s="7"/>
      <c r="F1" s="7"/>
      <c r="G1" s="7"/>
    </row>
    <row r="2" spans="1:2" ht="15.75" customHeight="1">
      <c r="A2" s="14" t="s">
        <v>2</v>
      </c>
      <c r="B2" s="38" t="s">
        <v>31</v>
      </c>
    </row>
    <row r="3" spans="1:2" ht="15.75" customHeight="1">
      <c r="A3" s="14" t="s">
        <v>3</v>
      </c>
      <c r="B3" s="38">
        <v>2</v>
      </c>
    </row>
    <row r="4" spans="1:2" ht="15.75" customHeight="1">
      <c r="A4" s="14" t="s">
        <v>0</v>
      </c>
      <c r="B4" s="14">
        <f>LOOKUP(B2,$C$26:$K$26,$C$27:$K$27)</f>
        <v>8000</v>
      </c>
    </row>
    <row r="5" spans="1:2" ht="15.75" customHeight="1">
      <c r="A5" s="14" t="s">
        <v>4</v>
      </c>
      <c r="B5" s="15">
        <f>VLOOKUP(B3,$B$28:$K$78,MATCH(B2,$C$26:$K$26,1)+1)</f>
        <v>205.1020408163265</v>
      </c>
    </row>
    <row r="6" spans="1:2" ht="15.75" customHeight="1">
      <c r="A6" s="14" t="s">
        <v>5</v>
      </c>
      <c r="B6" s="38">
        <v>12.3</v>
      </c>
    </row>
    <row r="7" spans="1:2" ht="15.75" customHeight="1">
      <c r="A7" s="14" t="s">
        <v>6</v>
      </c>
      <c r="B7" s="38">
        <v>14</v>
      </c>
    </row>
    <row r="8" spans="1:2" ht="15.75" customHeight="1">
      <c r="A8" s="14" t="s">
        <v>1</v>
      </c>
      <c r="B8" s="16">
        <f>B4*POWER(B3,4)/8/B7/POWER(B6,3)</f>
        <v>0.6141530495500982</v>
      </c>
    </row>
    <row r="9" spans="1:2" ht="15.75" customHeight="1">
      <c r="A9" s="14" t="s">
        <v>7</v>
      </c>
      <c r="B9" s="39" t="s">
        <v>32</v>
      </c>
    </row>
    <row r="10" spans="1:2" ht="15.75" customHeight="1">
      <c r="A10" s="14" t="s">
        <v>8</v>
      </c>
      <c r="B10" s="40">
        <f>B3*(B7+(LOOKUP(B9,$M$26:$N$26,$M$27:$N$27))+1)</f>
        <v>31</v>
      </c>
    </row>
    <row r="11" spans="1:2" ht="15.75" customHeight="1">
      <c r="A11" s="14" t="s">
        <v>9</v>
      </c>
      <c r="B11" s="38">
        <v>87</v>
      </c>
    </row>
    <row r="12" spans="1:2" ht="15.75" customHeight="1">
      <c r="A12" s="14" t="s">
        <v>10</v>
      </c>
      <c r="B12" s="16">
        <f>'軸間距離設定'!P35</f>
        <v>79.79121739424026</v>
      </c>
    </row>
    <row r="13" spans="1:2" ht="15.75" customHeight="1">
      <c r="A13" s="14" t="s">
        <v>11</v>
      </c>
      <c r="B13" s="16">
        <f>'軸間距離設定'!C35</f>
        <v>59.593143930226404</v>
      </c>
    </row>
    <row r="14" spans="1:2" ht="15.75" customHeight="1">
      <c r="A14" s="14" t="s">
        <v>12</v>
      </c>
      <c r="B14" s="16">
        <f>B8*(B11-B12)</f>
        <v>4.427295820871046</v>
      </c>
    </row>
    <row r="15" spans="1:2" ht="15.75" customHeight="1">
      <c r="A15" s="14" t="s">
        <v>13</v>
      </c>
      <c r="B15" s="16">
        <f>B8*(B11-B13)</f>
        <v>16.832004233832073</v>
      </c>
    </row>
    <row r="16" spans="1:2" ht="15.75" customHeight="1">
      <c r="A16" s="14" t="s">
        <v>14</v>
      </c>
      <c r="B16" s="17">
        <f>8*B6*B15/PI()/POWER(B3,3)</f>
        <v>65.9008582285689</v>
      </c>
    </row>
    <row r="17" spans="1:2" ht="15.75" customHeight="1">
      <c r="A17" s="14" t="s">
        <v>15</v>
      </c>
      <c r="B17" s="17">
        <f>((4*B6/B3-1)/(4*B6/B3-1)+0.615/(B6/B3))*B16</f>
        <v>72.49094405142579</v>
      </c>
    </row>
    <row r="18" spans="1:2" ht="15.75" customHeight="1">
      <c r="A18" s="14" t="s">
        <v>16</v>
      </c>
      <c r="B18" s="18">
        <f>B17/B5</f>
        <v>0.35343843368356853</v>
      </c>
    </row>
    <row r="19" spans="1:2" ht="15.75" customHeight="1">
      <c r="A19" s="14" t="s">
        <v>17</v>
      </c>
      <c r="B19" s="8">
        <f>B14/B15</f>
        <v>0.2630284403073193</v>
      </c>
    </row>
    <row r="20" ht="15.75" customHeight="1"/>
    <row r="21" ht="15.75" customHeight="1"/>
    <row r="22" ht="15.75" customHeight="1"/>
    <row r="26" spans="2:14" ht="15" thickBot="1" thickTop="1">
      <c r="B26" s="19"/>
      <c r="C26" s="20" t="s">
        <v>18</v>
      </c>
      <c r="D26" s="20" t="s">
        <v>19</v>
      </c>
      <c r="E26" s="20" t="s">
        <v>20</v>
      </c>
      <c r="F26" s="20" t="s">
        <v>21</v>
      </c>
      <c r="G26" s="20" t="s">
        <v>22</v>
      </c>
      <c r="H26" s="20" t="s">
        <v>23</v>
      </c>
      <c r="I26" s="20" t="s">
        <v>24</v>
      </c>
      <c r="J26" s="20" t="s">
        <v>25</v>
      </c>
      <c r="K26" s="21" t="s">
        <v>26</v>
      </c>
      <c r="M26" s="14" t="s">
        <v>27</v>
      </c>
      <c r="N26" s="14" t="s">
        <v>28</v>
      </c>
    </row>
    <row r="27" spans="2:14" ht="15" thickBot="1" thickTop="1">
      <c r="B27" s="22" t="s">
        <v>29</v>
      </c>
      <c r="C27" s="23">
        <v>7000</v>
      </c>
      <c r="D27" s="23">
        <v>7000</v>
      </c>
      <c r="E27" s="23">
        <v>7000</v>
      </c>
      <c r="F27" s="23">
        <v>8000</v>
      </c>
      <c r="G27" s="23">
        <v>8000</v>
      </c>
      <c r="H27" s="23">
        <v>8000</v>
      </c>
      <c r="I27" s="23">
        <v>8000</v>
      </c>
      <c r="J27" s="23">
        <v>8000</v>
      </c>
      <c r="K27" s="24">
        <v>8000</v>
      </c>
      <c r="M27" s="14">
        <v>0.5</v>
      </c>
      <c r="N27" s="14">
        <v>2.5</v>
      </c>
    </row>
    <row r="28" spans="2:11" ht="14.25" thickTop="1">
      <c r="B28" s="25">
        <v>0.08</v>
      </c>
      <c r="C28" s="26">
        <f aca="true" t="shared" si="0" ref="C28:C35">1650/9.8</f>
        <v>168.3673469387755</v>
      </c>
      <c r="D28" s="26">
        <f aca="true" t="shared" si="1" ref="D28:D35">2150/9.8</f>
        <v>219.3877551020408</v>
      </c>
      <c r="E28" s="27"/>
      <c r="F28" s="26">
        <f>2110/9.8</f>
        <v>215.30612244897958</v>
      </c>
      <c r="G28" s="26">
        <f>2450/9.8</f>
        <v>249.99999999999997</v>
      </c>
      <c r="H28" s="26">
        <f>2790/9.8</f>
        <v>284.69387755102036</v>
      </c>
      <c r="I28" s="26">
        <f>2890/9.8</f>
        <v>294.89795918367344</v>
      </c>
      <c r="J28" s="26">
        <f>3190/9.8</f>
        <v>325.51020408163265</v>
      </c>
      <c r="K28" s="28"/>
    </row>
    <row r="29" spans="2:11" ht="13.5">
      <c r="B29" s="25">
        <v>0.09</v>
      </c>
      <c r="C29" s="26">
        <f t="shared" si="0"/>
        <v>168.3673469387755</v>
      </c>
      <c r="D29" s="26">
        <f t="shared" si="1"/>
        <v>219.3877551020408</v>
      </c>
      <c r="E29" s="27"/>
      <c r="F29" s="26">
        <f>2060/9.8</f>
        <v>210.20408163265304</v>
      </c>
      <c r="G29" s="26">
        <f>2400/9.8</f>
        <v>244.89795918367346</v>
      </c>
      <c r="H29" s="26">
        <f>2750/9.8</f>
        <v>280.61224489795916</v>
      </c>
      <c r="I29" s="26">
        <f>2840/9.8</f>
        <v>289.7959183673469</v>
      </c>
      <c r="J29" s="26">
        <f>3140/9.8</f>
        <v>320.4081632653061</v>
      </c>
      <c r="K29" s="28"/>
    </row>
    <row r="30" spans="2:11" ht="13.5">
      <c r="B30" s="25">
        <v>0.1</v>
      </c>
      <c r="C30" s="26">
        <f t="shared" si="0"/>
        <v>168.3673469387755</v>
      </c>
      <c r="D30" s="26">
        <f t="shared" si="1"/>
        <v>219.3877551020408</v>
      </c>
      <c r="E30" s="27"/>
      <c r="F30" s="26">
        <f>2010/9.8</f>
        <v>205.1020408163265</v>
      </c>
      <c r="G30" s="26">
        <f>2350/9.8</f>
        <v>239.79591836734693</v>
      </c>
      <c r="H30" s="26">
        <f>2700/9.8</f>
        <v>275.51020408163265</v>
      </c>
      <c r="I30" s="26">
        <f>2790/9.8</f>
        <v>284.69387755102036</v>
      </c>
      <c r="J30" s="26">
        <f>3090/9.8</f>
        <v>315.3061224489796</v>
      </c>
      <c r="K30" s="28"/>
    </row>
    <row r="31" spans="2:11" ht="13.5">
      <c r="B31" s="25">
        <v>0.12</v>
      </c>
      <c r="C31" s="26">
        <f t="shared" si="0"/>
        <v>168.3673469387755</v>
      </c>
      <c r="D31" s="26">
        <f t="shared" si="1"/>
        <v>219.3877551020408</v>
      </c>
      <c r="E31" s="27"/>
      <c r="F31" s="26">
        <f>1960/9.8</f>
        <v>199.99999999999997</v>
      </c>
      <c r="G31" s="26">
        <f>2300/9.8</f>
        <v>234.6938775510204</v>
      </c>
      <c r="H31" s="26">
        <f>2650/9.8</f>
        <v>270.4081632653061</v>
      </c>
      <c r="I31" s="26">
        <f>2750/9.8</f>
        <v>280.61224489795916</v>
      </c>
      <c r="J31" s="26">
        <f>3040/9.8</f>
        <v>310.204081632653</v>
      </c>
      <c r="K31" s="28"/>
    </row>
    <row r="32" spans="2:11" ht="13.5">
      <c r="B32" s="25">
        <v>0.14</v>
      </c>
      <c r="C32" s="26">
        <f t="shared" si="0"/>
        <v>168.3673469387755</v>
      </c>
      <c r="D32" s="26">
        <f t="shared" si="1"/>
        <v>219.3877551020408</v>
      </c>
      <c r="E32" s="27"/>
      <c r="F32" s="26">
        <f>1960/9.8</f>
        <v>199.99999999999997</v>
      </c>
      <c r="G32" s="26">
        <f>2260/9.8</f>
        <v>230.61224489795916</v>
      </c>
      <c r="H32" s="26">
        <f>2600/9.8</f>
        <v>265.3061224489796</v>
      </c>
      <c r="I32" s="26">
        <f>2700/9.8</f>
        <v>275.51020408163265</v>
      </c>
      <c r="J32" s="26">
        <f>2990/9.8</f>
        <v>305.1020408163265</v>
      </c>
      <c r="K32" s="28"/>
    </row>
    <row r="33" spans="2:11" ht="13.5">
      <c r="B33" s="25">
        <v>0.16</v>
      </c>
      <c r="C33" s="26">
        <f t="shared" si="0"/>
        <v>168.3673469387755</v>
      </c>
      <c r="D33" s="26">
        <f t="shared" si="1"/>
        <v>219.3877551020408</v>
      </c>
      <c r="E33" s="27"/>
      <c r="F33" s="26">
        <f>1910/9.8</f>
        <v>194.89795918367346</v>
      </c>
      <c r="G33" s="26">
        <f>2210/9.8</f>
        <v>225.51020408163265</v>
      </c>
      <c r="H33" s="26">
        <f>2550/9.8</f>
        <v>260.204081632653</v>
      </c>
      <c r="I33" s="26">
        <f>2650/9.8</f>
        <v>270.4081632653061</v>
      </c>
      <c r="J33" s="26">
        <f>2940/9.8</f>
        <v>300</v>
      </c>
      <c r="K33" s="28"/>
    </row>
    <row r="34" spans="2:11" ht="13.5">
      <c r="B34" s="25">
        <v>0.18</v>
      </c>
      <c r="C34" s="26">
        <f t="shared" si="0"/>
        <v>168.3673469387755</v>
      </c>
      <c r="D34" s="26">
        <f t="shared" si="1"/>
        <v>219.3877551020408</v>
      </c>
      <c r="E34" s="27"/>
      <c r="F34" s="26">
        <f>1910/9.8</f>
        <v>194.89795918367346</v>
      </c>
      <c r="G34" s="26">
        <f>2210/9.8</f>
        <v>225.51020408163265</v>
      </c>
      <c r="H34" s="26">
        <f>2500/9.8</f>
        <v>255.1020408163265</v>
      </c>
      <c r="I34" s="26">
        <f>2600/9.8</f>
        <v>265.3061224489796</v>
      </c>
      <c r="J34" s="26">
        <f>2890/9.8</f>
        <v>294.89795918367344</v>
      </c>
      <c r="K34" s="28"/>
    </row>
    <row r="35" spans="2:11" ht="13.5">
      <c r="B35" s="25">
        <v>0.2</v>
      </c>
      <c r="C35" s="26">
        <f t="shared" si="0"/>
        <v>168.3673469387755</v>
      </c>
      <c r="D35" s="26">
        <f t="shared" si="1"/>
        <v>219.3877551020408</v>
      </c>
      <c r="E35" s="27"/>
      <c r="F35" s="26">
        <f>1910/9.8</f>
        <v>194.89795918367346</v>
      </c>
      <c r="G35" s="26">
        <f>2160/9.8</f>
        <v>220.40816326530611</v>
      </c>
      <c r="H35" s="26">
        <f>2500/9.8</f>
        <v>255.1020408163265</v>
      </c>
      <c r="I35" s="26">
        <f>2600/9.8</f>
        <v>265.3061224489796</v>
      </c>
      <c r="J35" s="26">
        <f>2840/9.8</f>
        <v>289.7959183673469</v>
      </c>
      <c r="K35" s="28"/>
    </row>
    <row r="36" spans="2:11" ht="13.5">
      <c r="B36" s="25">
        <v>0.23</v>
      </c>
      <c r="C36" s="26">
        <f aca="true" t="shared" si="2" ref="C36:C45">1600/9.8</f>
        <v>163.26530612244898</v>
      </c>
      <c r="D36" s="26">
        <f aca="true" t="shared" si="3" ref="D36:D41">2050/9.8</f>
        <v>209.18367346938774</v>
      </c>
      <c r="E36" s="27"/>
      <c r="F36" s="26">
        <f>1860/9.8</f>
        <v>189.79591836734693</v>
      </c>
      <c r="G36" s="26">
        <f>2110/9.8</f>
        <v>215.30612244897958</v>
      </c>
      <c r="H36" s="26">
        <f>2450/9.8</f>
        <v>249.99999999999997</v>
      </c>
      <c r="I36" s="26">
        <f>2550/9.8</f>
        <v>260.204081632653</v>
      </c>
      <c r="J36" s="26">
        <f>2790/9.8</f>
        <v>284.69387755102036</v>
      </c>
      <c r="K36" s="28"/>
    </row>
    <row r="37" spans="2:11" ht="13.5">
      <c r="B37" s="25">
        <v>0.26</v>
      </c>
      <c r="C37" s="26">
        <f t="shared" si="2"/>
        <v>163.26530612244898</v>
      </c>
      <c r="D37" s="26">
        <f t="shared" si="3"/>
        <v>209.18367346938774</v>
      </c>
      <c r="E37" s="27"/>
      <c r="F37" s="26">
        <f>1810/9.8</f>
        <v>184.6938775510204</v>
      </c>
      <c r="G37" s="26">
        <f>2060/9.8</f>
        <v>210.20408163265304</v>
      </c>
      <c r="H37" s="26">
        <f>2400/9.8</f>
        <v>244.89795918367346</v>
      </c>
      <c r="I37" s="26">
        <f>2500/9.8</f>
        <v>255.1020408163265</v>
      </c>
      <c r="J37" s="26">
        <f>2750/9.8</f>
        <v>280.61224489795916</v>
      </c>
      <c r="K37" s="28"/>
    </row>
    <row r="38" spans="2:11" ht="13.5">
      <c r="B38" s="25">
        <v>0.29</v>
      </c>
      <c r="C38" s="26">
        <f t="shared" si="2"/>
        <v>163.26530612244898</v>
      </c>
      <c r="D38" s="26">
        <f t="shared" si="3"/>
        <v>209.18367346938774</v>
      </c>
      <c r="E38" s="27"/>
      <c r="F38" s="26">
        <f>1770/9.8</f>
        <v>180.61224489795916</v>
      </c>
      <c r="G38" s="26">
        <f>2010/9.8</f>
        <v>205.1020408163265</v>
      </c>
      <c r="H38" s="26">
        <f>2350/9.8</f>
        <v>239.79591836734693</v>
      </c>
      <c r="I38" s="26">
        <f>2450/9.8</f>
        <v>249.99999999999997</v>
      </c>
      <c r="J38" s="26">
        <f>2700/9.8</f>
        <v>275.51020408163265</v>
      </c>
      <c r="K38" s="28"/>
    </row>
    <row r="39" spans="2:11" ht="13.5">
      <c r="B39" s="25">
        <v>0.32</v>
      </c>
      <c r="C39" s="26">
        <f t="shared" si="2"/>
        <v>163.26530612244898</v>
      </c>
      <c r="D39" s="26">
        <f t="shared" si="3"/>
        <v>209.18367346938774</v>
      </c>
      <c r="E39" s="27"/>
      <c r="F39" s="26">
        <f>1720/9.8</f>
        <v>175.51020408163265</v>
      </c>
      <c r="G39" s="26">
        <f>2010/9.8</f>
        <v>205.1020408163265</v>
      </c>
      <c r="H39" s="26">
        <f>2300/9.8</f>
        <v>234.6938775510204</v>
      </c>
      <c r="I39" s="26">
        <f>2400/9.8</f>
        <v>244.89795918367346</v>
      </c>
      <c r="J39" s="26">
        <f>2650/9.8</f>
        <v>270.4081632653061</v>
      </c>
      <c r="K39" s="28"/>
    </row>
    <row r="40" spans="2:11" ht="13.5">
      <c r="B40" s="25">
        <v>0.35</v>
      </c>
      <c r="C40" s="26">
        <f t="shared" si="2"/>
        <v>163.26530612244898</v>
      </c>
      <c r="D40" s="26">
        <f t="shared" si="3"/>
        <v>209.18367346938774</v>
      </c>
      <c r="E40" s="27"/>
      <c r="F40" s="26">
        <f>1720/9.8</f>
        <v>175.51020408163265</v>
      </c>
      <c r="G40" s="26">
        <f>1960/9.8</f>
        <v>199.99999999999997</v>
      </c>
      <c r="H40" s="26">
        <f>2300/9.8</f>
        <v>234.6938775510204</v>
      </c>
      <c r="I40" s="26">
        <f>2400/9.8</f>
        <v>244.89795918367346</v>
      </c>
      <c r="J40" s="26">
        <f>2650/9.8</f>
        <v>270.4081632653061</v>
      </c>
      <c r="K40" s="28"/>
    </row>
    <row r="41" spans="2:11" ht="13.5">
      <c r="B41" s="25">
        <v>0.4</v>
      </c>
      <c r="C41" s="26">
        <f t="shared" si="2"/>
        <v>163.26530612244898</v>
      </c>
      <c r="D41" s="26">
        <f t="shared" si="3"/>
        <v>209.18367346938774</v>
      </c>
      <c r="E41" s="27"/>
      <c r="F41" s="26">
        <f>1670/9.8</f>
        <v>170.40816326530611</v>
      </c>
      <c r="G41" s="26">
        <f>1910/9.8</f>
        <v>194.89795918367346</v>
      </c>
      <c r="H41" s="26">
        <f>2260/9.8</f>
        <v>230.61224489795916</v>
      </c>
      <c r="I41" s="26">
        <f>2350/9.8</f>
        <v>239.79591836734693</v>
      </c>
      <c r="J41" s="26">
        <f>2600/9.8</f>
        <v>265.3061224489796</v>
      </c>
      <c r="K41" s="28"/>
    </row>
    <row r="42" spans="2:11" ht="13.5">
      <c r="B42" s="25">
        <v>0.45</v>
      </c>
      <c r="C42" s="26">
        <f t="shared" si="2"/>
        <v>163.26530612244898</v>
      </c>
      <c r="D42" s="26">
        <f>1950/9.8</f>
        <v>198.97959183673467</v>
      </c>
      <c r="E42" s="27"/>
      <c r="F42" s="26">
        <f>1620/9.8</f>
        <v>165.30612244897958</v>
      </c>
      <c r="G42" s="26">
        <f>1910/9.8</f>
        <v>194.89795918367346</v>
      </c>
      <c r="H42" s="26">
        <f>2210/9.8</f>
        <v>225.51020408163265</v>
      </c>
      <c r="I42" s="26">
        <f>2300/9.8</f>
        <v>234.6938775510204</v>
      </c>
      <c r="J42" s="26">
        <f>2550/9.8</f>
        <v>260.204081632653</v>
      </c>
      <c r="K42" s="28"/>
    </row>
    <row r="43" spans="2:11" ht="13.5">
      <c r="B43" s="25">
        <v>0.5</v>
      </c>
      <c r="C43" s="26">
        <f t="shared" si="2"/>
        <v>163.26530612244898</v>
      </c>
      <c r="D43" s="26">
        <f>1950/9.8</f>
        <v>198.97959183673467</v>
      </c>
      <c r="E43" s="27"/>
      <c r="F43" s="26">
        <f>1620/9.8</f>
        <v>165.30612244897958</v>
      </c>
      <c r="G43" s="26">
        <f>1910/9.8</f>
        <v>194.89795918367346</v>
      </c>
      <c r="H43" s="26">
        <f>2210/9.8</f>
        <v>225.51020408163265</v>
      </c>
      <c r="I43" s="26">
        <f>2300/9.8</f>
        <v>234.6938775510204</v>
      </c>
      <c r="J43" s="26">
        <f>2550/9.8</f>
        <v>260.204081632653</v>
      </c>
      <c r="K43" s="28"/>
    </row>
    <row r="44" spans="2:11" ht="13.5">
      <c r="B44" s="25">
        <v>0.55</v>
      </c>
      <c r="C44" s="26">
        <f t="shared" si="2"/>
        <v>163.26530612244898</v>
      </c>
      <c r="D44" s="26">
        <f>1950/9.8</f>
        <v>198.97959183673467</v>
      </c>
      <c r="E44" s="27"/>
      <c r="F44" s="26">
        <f>1570/9.8</f>
        <v>160.20408163265304</v>
      </c>
      <c r="G44" s="26">
        <f>1860/9.8</f>
        <v>189.79591836734693</v>
      </c>
      <c r="H44" s="26">
        <f>2160/9.8</f>
        <v>220.40816326530611</v>
      </c>
      <c r="I44" s="26">
        <f>2260/9.8</f>
        <v>230.61224489795916</v>
      </c>
      <c r="J44" s="26">
        <f>2500/9.8</f>
        <v>255.1020408163265</v>
      </c>
      <c r="K44" s="28"/>
    </row>
    <row r="45" spans="2:11" ht="13.5">
      <c r="B45" s="25">
        <v>0.6</v>
      </c>
      <c r="C45" s="26">
        <f t="shared" si="2"/>
        <v>163.26530612244898</v>
      </c>
      <c r="D45" s="26">
        <f>1950/9.8</f>
        <v>198.97959183673467</v>
      </c>
      <c r="E45" s="27"/>
      <c r="F45" s="26">
        <f>1570/9.8</f>
        <v>160.20408163265304</v>
      </c>
      <c r="G45" s="26">
        <f>1810/9.8</f>
        <v>184.6938775510204</v>
      </c>
      <c r="H45" s="26">
        <f>2110/9.8</f>
        <v>215.30612244897958</v>
      </c>
      <c r="I45" s="26">
        <f>2210/9.8</f>
        <v>225.51020408163265</v>
      </c>
      <c r="J45" s="26">
        <f>2450/9.8</f>
        <v>249.99999999999997</v>
      </c>
      <c r="K45" s="28"/>
    </row>
    <row r="46" spans="2:11" ht="13.5">
      <c r="B46" s="25">
        <v>0.65</v>
      </c>
      <c r="C46" s="26">
        <f>1530/9.8</f>
        <v>156.12244897959184</v>
      </c>
      <c r="D46" s="26">
        <f>1850/9.8</f>
        <v>188.77551020408163</v>
      </c>
      <c r="E46" s="27"/>
      <c r="F46" s="26">
        <f>1570/9.8</f>
        <v>160.20408163265304</v>
      </c>
      <c r="G46" s="26">
        <f>1810/9.8</f>
        <v>184.6938775510204</v>
      </c>
      <c r="H46" s="26">
        <f>2110/9.8</f>
        <v>215.30612244897958</v>
      </c>
      <c r="I46" s="26">
        <f>2210/9.8</f>
        <v>225.51020408163265</v>
      </c>
      <c r="J46" s="26">
        <f>2450/9.8</f>
        <v>249.99999999999997</v>
      </c>
      <c r="K46" s="28"/>
    </row>
    <row r="47" spans="2:11" ht="13.5">
      <c r="B47" s="25">
        <v>0.7</v>
      </c>
      <c r="C47" s="26">
        <f>1530/9.8</f>
        <v>156.12244897959184</v>
      </c>
      <c r="D47" s="26">
        <f>1850/9.8</f>
        <v>188.77551020408163</v>
      </c>
      <c r="E47" s="27"/>
      <c r="F47" s="26">
        <f>1520/9.8</f>
        <v>155.1020408163265</v>
      </c>
      <c r="G47" s="26">
        <f>1770/9.8</f>
        <v>180.61224489795916</v>
      </c>
      <c r="H47" s="26">
        <f>2060/9.8</f>
        <v>210.20408163265304</v>
      </c>
      <c r="I47" s="26">
        <f>2160/9.8</f>
        <v>220.40816326530611</v>
      </c>
      <c r="J47" s="26">
        <f>2400/9.8</f>
        <v>244.89795918367346</v>
      </c>
      <c r="K47" s="28"/>
    </row>
    <row r="48" spans="2:11" ht="13.5">
      <c r="B48" s="25">
        <v>0.8</v>
      </c>
      <c r="C48" s="26">
        <f>1530/9.8</f>
        <v>156.12244897959184</v>
      </c>
      <c r="D48" s="26">
        <f>1850/9.8</f>
        <v>188.77551020408163</v>
      </c>
      <c r="E48" s="27"/>
      <c r="F48" s="26">
        <f>1520/9.8</f>
        <v>155.1020408163265</v>
      </c>
      <c r="G48" s="26">
        <f>1770/9.8</f>
        <v>180.61224489795916</v>
      </c>
      <c r="H48" s="26">
        <f>2010/9.8</f>
        <v>205.1020408163265</v>
      </c>
      <c r="I48" s="26">
        <f>2110/9.8</f>
        <v>215.30612244897958</v>
      </c>
      <c r="J48" s="26">
        <f>2350/9.8</f>
        <v>239.79591836734693</v>
      </c>
      <c r="K48" s="28"/>
    </row>
    <row r="49" spans="2:11" ht="13.5">
      <c r="B49" s="25">
        <v>0.9</v>
      </c>
      <c r="C49" s="26">
        <f>1530/9.8</f>
        <v>156.12244897959184</v>
      </c>
      <c r="D49" s="26">
        <f>1850/9.8</f>
        <v>188.77551020408163</v>
      </c>
      <c r="E49" s="27"/>
      <c r="F49" s="26">
        <f>1520/9.8</f>
        <v>155.1020408163265</v>
      </c>
      <c r="G49" s="26">
        <f>1770/9.8</f>
        <v>180.61224489795916</v>
      </c>
      <c r="H49" s="26">
        <f>2010/9.8</f>
        <v>205.1020408163265</v>
      </c>
      <c r="I49" s="26">
        <f>2110/9.8</f>
        <v>215.30612244897958</v>
      </c>
      <c r="J49" s="26">
        <f>2300/9.8</f>
        <v>234.6938775510204</v>
      </c>
      <c r="K49" s="28"/>
    </row>
    <row r="50" spans="2:11" ht="13.5">
      <c r="B50" s="25">
        <v>1</v>
      </c>
      <c r="C50" s="26">
        <f>1530/9.8</f>
        <v>156.12244897959184</v>
      </c>
      <c r="D50" s="26">
        <f>1850/9.8</f>
        <v>188.77551020408163</v>
      </c>
      <c r="E50" s="27"/>
      <c r="F50" s="26">
        <f>1470/9.8</f>
        <v>150</v>
      </c>
      <c r="G50" s="26">
        <f>1720/9.8</f>
        <v>175.51020408163265</v>
      </c>
      <c r="H50" s="26">
        <f>1960/9.8</f>
        <v>199.99999999999997</v>
      </c>
      <c r="I50" s="26">
        <f>2060/9.8</f>
        <v>210.20408163265304</v>
      </c>
      <c r="J50" s="26">
        <f>2260/9.8</f>
        <v>230.61224489795916</v>
      </c>
      <c r="K50" s="28">
        <f>2010/9.8</f>
        <v>205.1020408163265</v>
      </c>
    </row>
    <row r="51" spans="2:11" ht="13.5">
      <c r="B51" s="29">
        <v>1.1</v>
      </c>
      <c r="C51" s="30">
        <f>1450/9.8</f>
        <v>147.95918367346937</v>
      </c>
      <c r="D51" s="30">
        <f>1750/9.8</f>
        <v>178.57142857142856</v>
      </c>
      <c r="E51" s="31"/>
      <c r="F51" s="30">
        <f>1420/9.8</f>
        <v>144.89795918367346</v>
      </c>
      <c r="G51" s="30">
        <f>1670/9.8</f>
        <v>170.40816326530611</v>
      </c>
      <c r="H51" s="30">
        <f>1910/9.8</f>
        <v>194.89795918367346</v>
      </c>
      <c r="I51" s="30">
        <f>2010/9.8</f>
        <v>205.1020408163265</v>
      </c>
      <c r="J51" s="30">
        <f>2210/9.8</f>
        <v>225.51020408163265</v>
      </c>
      <c r="K51" s="32">
        <f>1960/9.8</f>
        <v>199.99999999999997</v>
      </c>
    </row>
    <row r="52" spans="2:11" ht="13.5">
      <c r="B52" s="25">
        <v>1.2</v>
      </c>
      <c r="C52" s="26">
        <f>1450/9.8</f>
        <v>147.95918367346937</v>
      </c>
      <c r="D52" s="26">
        <f>1750/9.8</f>
        <v>178.57142857142856</v>
      </c>
      <c r="E52" s="27"/>
      <c r="F52" s="26">
        <f>1420/9.8</f>
        <v>144.89795918367346</v>
      </c>
      <c r="G52" s="26">
        <f>1670/9.8</f>
        <v>170.40816326530611</v>
      </c>
      <c r="H52" s="26">
        <f>1910/9.8</f>
        <v>194.89795918367346</v>
      </c>
      <c r="I52" s="26">
        <f>2010/9.8</f>
        <v>205.1020408163265</v>
      </c>
      <c r="J52" s="26">
        <f>2210/9.8</f>
        <v>225.51020408163265</v>
      </c>
      <c r="K52" s="28">
        <f>1960/9.8</f>
        <v>199.99999999999997</v>
      </c>
    </row>
    <row r="53" spans="2:11" ht="13.5">
      <c r="B53" s="29">
        <v>1.3</v>
      </c>
      <c r="C53" s="30">
        <f>1450/9.8</f>
        <v>147.95918367346937</v>
      </c>
      <c r="D53" s="30">
        <f>1750/9.8</f>
        <v>178.57142857142856</v>
      </c>
      <c r="E53" s="33"/>
      <c r="F53" s="30">
        <f>1370/9.8</f>
        <v>139.79591836734693</v>
      </c>
      <c r="G53" s="30">
        <f>1620/9.8</f>
        <v>165.30612244897958</v>
      </c>
      <c r="H53" s="30">
        <f>1860/9.8</f>
        <v>189.79591836734693</v>
      </c>
      <c r="I53" s="30">
        <f>1960/9.8</f>
        <v>199.99999999999997</v>
      </c>
      <c r="J53" s="30">
        <f>2160/9.8</f>
        <v>220.40816326530611</v>
      </c>
      <c r="K53" s="32">
        <f>1910/9.8</f>
        <v>194.89795918367346</v>
      </c>
    </row>
    <row r="54" spans="2:11" ht="13.5">
      <c r="B54" s="25">
        <v>1.4</v>
      </c>
      <c r="C54" s="26">
        <f>1450/9.8</f>
        <v>147.95918367346937</v>
      </c>
      <c r="D54" s="26">
        <f>1750/9.8</f>
        <v>178.57142857142856</v>
      </c>
      <c r="E54" s="27"/>
      <c r="F54" s="26">
        <f>1370/9.8</f>
        <v>139.79591836734693</v>
      </c>
      <c r="G54" s="26">
        <f>1620/9.8</f>
        <v>165.30612244897958</v>
      </c>
      <c r="H54" s="26">
        <f>1860/9.8</f>
        <v>189.79591836734693</v>
      </c>
      <c r="I54" s="26">
        <f>1960/9.8</f>
        <v>199.99999999999997</v>
      </c>
      <c r="J54" s="26">
        <f>2160/9.8</f>
        <v>220.40816326530611</v>
      </c>
      <c r="K54" s="28">
        <f>1910/9.8</f>
        <v>194.89795918367346</v>
      </c>
    </row>
    <row r="55" spans="2:11" ht="13.5">
      <c r="B55" s="29">
        <v>1.5</v>
      </c>
      <c r="C55" s="30">
        <f aca="true" t="shared" si="4" ref="C55:C60">1400/9.8</f>
        <v>142.85714285714283</v>
      </c>
      <c r="D55" s="30">
        <f aca="true" t="shared" si="5" ref="D55:D60">1650/9.8</f>
        <v>168.3673469387755</v>
      </c>
      <c r="E55" s="33"/>
      <c r="F55" s="30">
        <f>1320/9.8</f>
        <v>134.6938775510204</v>
      </c>
      <c r="G55" s="30">
        <f>1570/9.8</f>
        <v>160.20408163265304</v>
      </c>
      <c r="H55" s="30">
        <f>1810/9.8</f>
        <v>184.6938775510204</v>
      </c>
      <c r="I55" s="30">
        <f>1910/9.8</f>
        <v>194.89795918367346</v>
      </c>
      <c r="J55" s="30">
        <f>2110/9.8</f>
        <v>215.30612244897958</v>
      </c>
      <c r="K55" s="32">
        <f>1860/9.8</f>
        <v>189.79591836734693</v>
      </c>
    </row>
    <row r="56" spans="2:11" ht="13.5">
      <c r="B56" s="25">
        <v>1.6</v>
      </c>
      <c r="C56" s="26">
        <f t="shared" si="4"/>
        <v>142.85714285714283</v>
      </c>
      <c r="D56" s="26">
        <f t="shared" si="5"/>
        <v>168.3673469387755</v>
      </c>
      <c r="E56" s="27"/>
      <c r="F56" s="26">
        <f>1320/9.8</f>
        <v>134.6938775510204</v>
      </c>
      <c r="G56" s="26">
        <f>1570/9.8</f>
        <v>160.20408163265304</v>
      </c>
      <c r="H56" s="26">
        <f>1810/9.8</f>
        <v>184.6938775510204</v>
      </c>
      <c r="I56" s="26">
        <f>1910/9.8</f>
        <v>194.89795918367346</v>
      </c>
      <c r="J56" s="26">
        <f>2110/9.8</f>
        <v>215.30612244897958</v>
      </c>
      <c r="K56" s="28">
        <f>1860/9.8</f>
        <v>189.79591836734693</v>
      </c>
    </row>
    <row r="57" spans="2:11" ht="13.5">
      <c r="B57" s="29">
        <v>1.7</v>
      </c>
      <c r="C57" s="30">
        <f t="shared" si="4"/>
        <v>142.85714285714283</v>
      </c>
      <c r="D57" s="30">
        <f t="shared" si="5"/>
        <v>168.3673469387755</v>
      </c>
      <c r="E57" s="33"/>
      <c r="F57" s="30">
        <f>1270/9.8</f>
        <v>129.59183673469386</v>
      </c>
      <c r="G57" s="30">
        <f>1520/9.8</f>
        <v>155.1020408163265</v>
      </c>
      <c r="H57" s="30">
        <f>1770/9.8</f>
        <v>180.61224489795916</v>
      </c>
      <c r="I57" s="30">
        <f>1860/9.8</f>
        <v>189.79591836734693</v>
      </c>
      <c r="J57" s="30">
        <f>2060/9.8</f>
        <v>210.20408163265304</v>
      </c>
      <c r="K57" s="32">
        <f>1810/9.8</f>
        <v>184.6938775510204</v>
      </c>
    </row>
    <row r="58" spans="2:11" ht="13.5">
      <c r="B58" s="25">
        <v>1.8</v>
      </c>
      <c r="C58" s="26">
        <f t="shared" si="4"/>
        <v>142.85714285714283</v>
      </c>
      <c r="D58" s="26">
        <f t="shared" si="5"/>
        <v>168.3673469387755</v>
      </c>
      <c r="E58" s="27"/>
      <c r="F58" s="26">
        <f>1270/9.8</f>
        <v>129.59183673469386</v>
      </c>
      <c r="G58" s="26">
        <f>1520/9.8</f>
        <v>155.1020408163265</v>
      </c>
      <c r="H58" s="26">
        <f>1770/9.8</f>
        <v>180.61224489795916</v>
      </c>
      <c r="I58" s="26">
        <f>1860/9.8</f>
        <v>189.79591836734693</v>
      </c>
      <c r="J58" s="26">
        <f>2060/9.8</f>
        <v>210.20408163265304</v>
      </c>
      <c r="K58" s="28">
        <f>1810/9.8</f>
        <v>184.6938775510204</v>
      </c>
    </row>
    <row r="59" spans="2:11" ht="13.5">
      <c r="B59" s="29">
        <v>1.9</v>
      </c>
      <c r="C59" s="30">
        <f t="shared" si="4"/>
        <v>142.85714285714283</v>
      </c>
      <c r="D59" s="30">
        <f t="shared" si="5"/>
        <v>168.3673469387755</v>
      </c>
      <c r="E59" s="33"/>
      <c r="F59" s="30">
        <f>1270/9.8</f>
        <v>129.59183673469386</v>
      </c>
      <c r="G59" s="30">
        <f>1470/9.8</f>
        <v>150</v>
      </c>
      <c r="H59" s="30">
        <f>1720/9.8</f>
        <v>175.51020408163265</v>
      </c>
      <c r="I59" s="30">
        <f>1810/9.8</f>
        <v>184.6938775510204</v>
      </c>
      <c r="J59" s="30">
        <f>2010/9.8</f>
        <v>205.1020408163265</v>
      </c>
      <c r="K59" s="32">
        <f>1770/9.8</f>
        <v>180.61224489795916</v>
      </c>
    </row>
    <row r="60" spans="2:11" ht="13.5">
      <c r="B60" s="25">
        <v>2</v>
      </c>
      <c r="C60" s="26">
        <f t="shared" si="4"/>
        <v>142.85714285714283</v>
      </c>
      <c r="D60" s="26">
        <f t="shared" si="5"/>
        <v>168.3673469387755</v>
      </c>
      <c r="E60" s="27"/>
      <c r="F60" s="26">
        <f>1270/9.8</f>
        <v>129.59183673469386</v>
      </c>
      <c r="G60" s="26">
        <f>1470/9.8</f>
        <v>150</v>
      </c>
      <c r="H60" s="26">
        <f>1720/9.8</f>
        <v>175.51020408163265</v>
      </c>
      <c r="I60" s="26">
        <f>1810/9.8</f>
        <v>184.6938775510204</v>
      </c>
      <c r="J60" s="26">
        <f>2010/9.8</f>
        <v>205.1020408163265</v>
      </c>
      <c r="K60" s="28">
        <f>1770/9.8</f>
        <v>180.61224489795916</v>
      </c>
    </row>
    <row r="61" spans="2:11" ht="13.5">
      <c r="B61" s="25">
        <v>2.3</v>
      </c>
      <c r="C61" s="26">
        <f>1320/9.8</f>
        <v>134.6938775510204</v>
      </c>
      <c r="D61" s="26">
        <f>1550/9.8</f>
        <v>158.16326530612244</v>
      </c>
      <c r="E61" s="27"/>
      <c r="F61" s="26">
        <f>1230/9.8</f>
        <v>125.51020408163265</v>
      </c>
      <c r="G61" s="26">
        <f>1420/9.8</f>
        <v>144.89795918367346</v>
      </c>
      <c r="H61" s="26">
        <f>1670/9.8</f>
        <v>170.40816326530611</v>
      </c>
      <c r="I61" s="26">
        <f>1770/9.8</f>
        <v>180.61224489795916</v>
      </c>
      <c r="J61" s="26">
        <f>1960/9.8</f>
        <v>199.99999999999997</v>
      </c>
      <c r="K61" s="28">
        <f>1720/9.8</f>
        <v>175.51020408163265</v>
      </c>
    </row>
    <row r="62" spans="2:11" ht="13.5">
      <c r="B62" s="25">
        <v>2.6</v>
      </c>
      <c r="C62" s="26">
        <f>1320/9.8</f>
        <v>134.6938775510204</v>
      </c>
      <c r="D62" s="26">
        <f>1550/9.8</f>
        <v>158.16326530612244</v>
      </c>
      <c r="E62" s="27"/>
      <c r="F62" s="26">
        <f>1230/9.8</f>
        <v>125.51020408163265</v>
      </c>
      <c r="G62" s="26">
        <f>1420/9.8</f>
        <v>144.89795918367346</v>
      </c>
      <c r="H62" s="26">
        <f>1670/9.8</f>
        <v>170.40816326530611</v>
      </c>
      <c r="I62" s="26">
        <f>1770/9.8</f>
        <v>180.61224489795916</v>
      </c>
      <c r="J62" s="26">
        <f>1960/9.8</f>
        <v>199.99999999999997</v>
      </c>
      <c r="K62" s="28">
        <f>1720/9.8</f>
        <v>175.51020408163265</v>
      </c>
    </row>
    <row r="63" spans="2:11" ht="13.5">
      <c r="B63" s="25">
        <v>2.9</v>
      </c>
      <c r="C63" s="26">
        <f>1230/9.8</f>
        <v>125.51020408163265</v>
      </c>
      <c r="D63" s="26">
        <f>1450/9.8</f>
        <v>147.95918367346937</v>
      </c>
      <c r="E63" s="27"/>
      <c r="F63" s="26">
        <f>1180/9.8</f>
        <v>120.40816326530611</v>
      </c>
      <c r="G63" s="26">
        <f>1370/9.8</f>
        <v>139.79591836734693</v>
      </c>
      <c r="H63" s="26">
        <f>1620/9.8</f>
        <v>165.30612244897958</v>
      </c>
      <c r="I63" s="26">
        <f>1720/9.8</f>
        <v>175.51020408163265</v>
      </c>
      <c r="J63" s="26">
        <f>1910/9.8</f>
        <v>194.89795918367346</v>
      </c>
      <c r="K63" s="28">
        <f>1720/9.8</f>
        <v>175.51020408163265</v>
      </c>
    </row>
    <row r="64" spans="2:11" ht="13.5">
      <c r="B64" s="25">
        <v>3.2</v>
      </c>
      <c r="C64" s="26">
        <f>1230/9.8</f>
        <v>125.51020408163265</v>
      </c>
      <c r="D64" s="26">
        <f>1450/9.8</f>
        <v>147.95918367346937</v>
      </c>
      <c r="E64" s="27"/>
      <c r="F64" s="26">
        <f>1180/9.8</f>
        <v>120.40816326530611</v>
      </c>
      <c r="G64" s="26">
        <f>1370/9.8</f>
        <v>139.79591836734693</v>
      </c>
      <c r="H64" s="26">
        <f>1570/9.8</f>
        <v>160.20408163265304</v>
      </c>
      <c r="I64" s="26">
        <f>1670/9.8</f>
        <v>170.40816326530611</v>
      </c>
      <c r="J64" s="26">
        <f>1860/9.8</f>
        <v>189.79591836734693</v>
      </c>
      <c r="K64" s="28">
        <f>1670/9.8</f>
        <v>170.40816326530611</v>
      </c>
    </row>
    <row r="65" spans="2:11" ht="13.5">
      <c r="B65" s="25">
        <v>3.5</v>
      </c>
      <c r="C65" s="26">
        <f>1230/9.8</f>
        <v>125.51020408163265</v>
      </c>
      <c r="D65" s="26">
        <f>1450/9.8</f>
        <v>147.95918367346937</v>
      </c>
      <c r="E65" s="27"/>
      <c r="F65" s="26">
        <f>1180/9.8</f>
        <v>120.40816326530611</v>
      </c>
      <c r="G65" s="26">
        <f>1370/9.8</f>
        <v>139.79591836734693</v>
      </c>
      <c r="H65" s="26">
        <f>1570/9.8</f>
        <v>160.20408163265304</v>
      </c>
      <c r="I65" s="26">
        <f>1670/9.8</f>
        <v>170.40816326530611</v>
      </c>
      <c r="J65" s="26">
        <f>1810/9.8</f>
        <v>184.6938775510204</v>
      </c>
      <c r="K65" s="28">
        <f>1670/9.8</f>
        <v>170.40816326530611</v>
      </c>
    </row>
    <row r="66" spans="2:11" ht="13.5">
      <c r="B66" s="25">
        <v>4</v>
      </c>
      <c r="C66" s="26">
        <f>1230/9.8</f>
        <v>125.51020408163265</v>
      </c>
      <c r="D66" s="26">
        <f>1450/9.8</f>
        <v>147.95918367346937</v>
      </c>
      <c r="E66" s="27"/>
      <c r="F66" s="26">
        <f>1180/9.8</f>
        <v>120.40816326530611</v>
      </c>
      <c r="G66" s="26">
        <f>1370/9.8</f>
        <v>139.79591836734693</v>
      </c>
      <c r="H66" s="26">
        <f>1570/9.8</f>
        <v>160.20408163265304</v>
      </c>
      <c r="I66" s="26">
        <f>1670/9.8</f>
        <v>170.40816326530611</v>
      </c>
      <c r="J66" s="26">
        <f>1810/9.8</f>
        <v>184.6938775510204</v>
      </c>
      <c r="K66" s="28">
        <f>1670/9.8</f>
        <v>170.40816326530611</v>
      </c>
    </row>
    <row r="67" spans="2:11" ht="13.5">
      <c r="B67" s="25">
        <v>4.5</v>
      </c>
      <c r="C67" s="26">
        <f>1100/9.8</f>
        <v>112.24489795918366</v>
      </c>
      <c r="D67" s="26">
        <f>1350/9.8</f>
        <v>137.75510204081633</v>
      </c>
      <c r="E67" s="27"/>
      <c r="F67" s="26">
        <f>1130/9.8</f>
        <v>115.30612244897958</v>
      </c>
      <c r="G67" s="26">
        <f>1320/9.8</f>
        <v>134.6938775510204</v>
      </c>
      <c r="H67" s="26">
        <f>1520/9.8</f>
        <v>155.1020408163265</v>
      </c>
      <c r="I67" s="26">
        <f>1620/9.8</f>
        <v>165.30612244897958</v>
      </c>
      <c r="J67" s="26">
        <f>1770/9.8</f>
        <v>180.61224489795916</v>
      </c>
      <c r="K67" s="28">
        <f>1620/9.8</f>
        <v>165.30612244897958</v>
      </c>
    </row>
    <row r="68" spans="2:11" ht="13.5">
      <c r="B68" s="25">
        <v>5</v>
      </c>
      <c r="C68" s="26">
        <f>1100/9.8</f>
        <v>112.24489795918366</v>
      </c>
      <c r="D68" s="26">
        <f>1350/9.8</f>
        <v>137.75510204081633</v>
      </c>
      <c r="E68" s="27"/>
      <c r="F68" s="26">
        <f>1130/9.8</f>
        <v>115.30612244897958</v>
      </c>
      <c r="G68" s="26">
        <f>1320/9.8</f>
        <v>134.6938775510204</v>
      </c>
      <c r="H68" s="26">
        <f>1520/9.8</f>
        <v>155.1020408163265</v>
      </c>
      <c r="I68" s="26">
        <f>1620/9.8</f>
        <v>165.30612244897958</v>
      </c>
      <c r="J68" s="26">
        <f>1770/9.8</f>
        <v>180.61224489795916</v>
      </c>
      <c r="K68" s="28">
        <f>1620/9.8</f>
        <v>165.30612244897958</v>
      </c>
    </row>
    <row r="69" spans="2:11" ht="13.5">
      <c r="B69" s="25">
        <v>5.5</v>
      </c>
      <c r="C69" s="26">
        <f>1100/9.8</f>
        <v>112.24489795918366</v>
      </c>
      <c r="D69" s="26">
        <f>1350/9.8</f>
        <v>137.75510204081633</v>
      </c>
      <c r="E69" s="27"/>
      <c r="F69" s="26">
        <f>1080/9.8</f>
        <v>110.20408163265306</v>
      </c>
      <c r="G69" s="26">
        <f>1270/9.8</f>
        <v>129.59183673469386</v>
      </c>
      <c r="H69" s="26">
        <f>1470/9.8</f>
        <v>150</v>
      </c>
      <c r="I69" s="26">
        <f>1570/9.8</f>
        <v>160.20408163265304</v>
      </c>
      <c r="J69" s="26">
        <f>1710/9.8</f>
        <v>174.48979591836732</v>
      </c>
      <c r="K69" s="28">
        <f>1570/9.8</f>
        <v>160.20408163265304</v>
      </c>
    </row>
    <row r="70" spans="2:11" ht="13.5">
      <c r="B70" s="25">
        <v>6</v>
      </c>
      <c r="C70" s="26">
        <f>1100/9.8</f>
        <v>112.24489795918366</v>
      </c>
      <c r="D70" s="26">
        <f>1350/9.8</f>
        <v>137.75510204081633</v>
      </c>
      <c r="E70" s="27"/>
      <c r="F70" s="26">
        <f>1030/9.8</f>
        <v>105.10204081632652</v>
      </c>
      <c r="G70" s="26">
        <f>1230/9.8</f>
        <v>125.51020408163265</v>
      </c>
      <c r="H70" s="26">
        <f>1420/9.8</f>
        <v>144.89795918367346</v>
      </c>
      <c r="I70" s="26">
        <f>1520/9.8</f>
        <v>155.1020408163265</v>
      </c>
      <c r="J70" s="26">
        <f>1670/9.8</f>
        <v>170.40816326530611</v>
      </c>
      <c r="K70" s="28">
        <f>1520/9.8</f>
        <v>155.1020408163265</v>
      </c>
    </row>
    <row r="71" spans="2:11" ht="13.5">
      <c r="B71" s="25">
        <v>6.5</v>
      </c>
      <c r="C71" s="26">
        <f>1000/9.8</f>
        <v>102.0408163265306</v>
      </c>
      <c r="D71" s="26">
        <f>1270/9.8</f>
        <v>129.59183673469386</v>
      </c>
      <c r="E71" s="27"/>
      <c r="F71" s="26">
        <f>1030/9.8</f>
        <v>105.10204081632652</v>
      </c>
      <c r="G71" s="26">
        <f>1230/9.8</f>
        <v>125.51020408163265</v>
      </c>
      <c r="H71" s="26">
        <f>1420/9.8</f>
        <v>144.89795918367346</v>
      </c>
      <c r="I71" s="26">
        <f>1520/9.8</f>
        <v>155.1020408163265</v>
      </c>
      <c r="J71" s="26">
        <f>1670/9.8</f>
        <v>170.40816326530611</v>
      </c>
      <c r="K71" s="28"/>
    </row>
    <row r="72" spans="2:11" ht="13.5">
      <c r="B72" s="25">
        <v>7</v>
      </c>
      <c r="C72" s="26">
        <f>1000/9.8</f>
        <v>102.0408163265306</v>
      </c>
      <c r="D72" s="26">
        <f>1270/9.8</f>
        <v>129.59183673469386</v>
      </c>
      <c r="E72" s="27"/>
      <c r="F72" s="26">
        <f>980/9.8</f>
        <v>99.99999999999999</v>
      </c>
      <c r="G72" s="26">
        <f>1180/9.8</f>
        <v>120.40816326530611</v>
      </c>
      <c r="H72" s="26">
        <f>1370/9.8</f>
        <v>139.79591836734693</v>
      </c>
      <c r="I72" s="26">
        <f>1470/9.8</f>
        <v>150</v>
      </c>
      <c r="J72" s="26">
        <f>1620/9.8</f>
        <v>165.30612244897958</v>
      </c>
      <c r="K72" s="28"/>
    </row>
    <row r="73" spans="2:11" ht="13.5">
      <c r="B73" s="25">
        <v>8</v>
      </c>
      <c r="C73" s="26">
        <f>1000/9.8</f>
        <v>102.0408163265306</v>
      </c>
      <c r="D73" s="26">
        <f>1270/9.8</f>
        <v>129.59183673469386</v>
      </c>
      <c r="E73" s="27"/>
      <c r="F73" s="26">
        <f>980/9.8</f>
        <v>99.99999999999999</v>
      </c>
      <c r="G73" s="26">
        <f>1180/9.8</f>
        <v>120.40816326530611</v>
      </c>
      <c r="H73" s="26">
        <f>1370/9.8</f>
        <v>139.79591836734693</v>
      </c>
      <c r="I73" s="26">
        <f>1470/9.8</f>
        <v>150</v>
      </c>
      <c r="J73" s="26"/>
      <c r="K73" s="28"/>
    </row>
    <row r="74" spans="2:11" ht="13.5">
      <c r="B74" s="25">
        <v>9</v>
      </c>
      <c r="C74" s="26"/>
      <c r="D74" s="26">
        <f>1130/9.8</f>
        <v>115.30612244897958</v>
      </c>
      <c r="E74" s="27"/>
      <c r="F74" s="26">
        <f>930/9.8</f>
        <v>94.89795918367346</v>
      </c>
      <c r="G74" s="26">
        <f>1470/9.8</f>
        <v>150</v>
      </c>
      <c r="H74" s="26">
        <f>1320/9.8</f>
        <v>134.6938775510204</v>
      </c>
      <c r="I74" s="26">
        <f>1420/9.8</f>
        <v>144.89795918367346</v>
      </c>
      <c r="J74" s="26"/>
      <c r="K74" s="28"/>
    </row>
    <row r="75" spans="2:11" ht="13.5">
      <c r="B75" s="25">
        <v>10</v>
      </c>
      <c r="C75" s="26"/>
      <c r="D75" s="26">
        <f>980/9.8</f>
        <v>99.99999999999999</v>
      </c>
      <c r="E75" s="27"/>
      <c r="F75" s="26">
        <f>930/9.8</f>
        <v>94.89795918367346</v>
      </c>
      <c r="G75" s="26">
        <f>1470/9.8</f>
        <v>150</v>
      </c>
      <c r="H75" s="26">
        <f>1320/9.8</f>
        <v>134.6938775510204</v>
      </c>
      <c r="I75" s="26">
        <f>1420/9.8</f>
        <v>144.89795918367346</v>
      </c>
      <c r="J75" s="26"/>
      <c r="K75" s="28"/>
    </row>
    <row r="76" spans="2:11" ht="13.5">
      <c r="B76" s="25">
        <v>11</v>
      </c>
      <c r="C76" s="26"/>
      <c r="D76" s="26">
        <f>880/9.8</f>
        <v>89.79591836734693</v>
      </c>
      <c r="E76" s="27"/>
      <c r="F76" s="26"/>
      <c r="G76" s="26">
        <f>1080/9.8</f>
        <v>110.20408163265306</v>
      </c>
      <c r="H76" s="26">
        <f>1270/9.8</f>
        <v>129.59183673469386</v>
      </c>
      <c r="I76" s="26"/>
      <c r="J76" s="26"/>
      <c r="K76" s="28"/>
    </row>
    <row r="77" spans="2:11" ht="13.5">
      <c r="B77" s="25">
        <v>12</v>
      </c>
      <c r="C77" s="26"/>
      <c r="D77" s="26"/>
      <c r="E77" s="27"/>
      <c r="F77" s="26"/>
      <c r="G77" s="26">
        <f>1080/9.8</f>
        <v>110.20408163265306</v>
      </c>
      <c r="H77" s="26">
        <f>1270/9.8</f>
        <v>129.59183673469386</v>
      </c>
      <c r="I77" s="26"/>
      <c r="J77" s="26"/>
      <c r="K77" s="28"/>
    </row>
    <row r="78" spans="2:11" ht="14.25" thickBot="1">
      <c r="B78" s="34">
        <v>13</v>
      </c>
      <c r="C78" s="35"/>
      <c r="D78" s="35"/>
      <c r="E78" s="36"/>
      <c r="F78" s="35"/>
      <c r="G78" s="35">
        <f>1030/9.8</f>
        <v>105.10204081632652</v>
      </c>
      <c r="H78" s="35">
        <f>1230/9.8</f>
        <v>125.51020408163265</v>
      </c>
      <c r="I78" s="35"/>
      <c r="J78" s="35"/>
      <c r="K78" s="37"/>
    </row>
    <row r="79" ht="14.25" thickTop="1"/>
  </sheetData>
  <sheetProtection password="CC6F" sheet="1" objects="1" scenarios="1"/>
  <dataValidations count="4">
    <dataValidation type="list" allowBlank="1" showInputMessage="1" showErrorMessage="1" sqref="B2">
      <formula1>$C$26:$K$26</formula1>
    </dataValidation>
    <dataValidation type="list" allowBlank="1" showInputMessage="1" showErrorMessage="1" sqref="B3">
      <formula1>$B$28:$B$73</formula1>
    </dataValidation>
    <dataValidation type="list" allowBlank="1" showInputMessage="1" showErrorMessage="1" sqref="B9">
      <formula1>$M$26:$N$26</formula1>
    </dataValidation>
    <dataValidation errorStyle="information" type="decimal" operator="greaterThan" allowBlank="1" showInputMessage="1" showErrorMessage="1" error="密着高さ以上に設定して下さい" sqref="B11">
      <formula1>B10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00390625" defaultRowHeight="13.5"/>
  <cols>
    <col min="1" max="1" width="25.625" style="0" customWidth="1"/>
    <col min="2" max="26" width="10.625" style="0" customWidth="1"/>
  </cols>
  <sheetData>
    <row r="1" spans="2:7" ht="13.5">
      <c r="B1" s="7"/>
      <c r="C1" s="7"/>
      <c r="D1" s="7"/>
      <c r="E1" s="7"/>
      <c r="F1" s="7"/>
      <c r="G1" s="7"/>
    </row>
    <row r="2" spans="1:7" ht="15.75" customHeight="1">
      <c r="A2" t="s">
        <v>83</v>
      </c>
      <c r="B2" s="65" t="s">
        <v>31</v>
      </c>
      <c r="C2" s="7"/>
      <c r="D2" s="7"/>
      <c r="E2" s="7"/>
      <c r="F2" s="7"/>
      <c r="G2" s="7"/>
    </row>
    <row r="3" spans="1:7" ht="15.75" customHeight="1">
      <c r="A3" t="s">
        <v>84</v>
      </c>
      <c r="B3" s="65">
        <v>2.3</v>
      </c>
      <c r="C3" s="7"/>
      <c r="D3" s="7"/>
      <c r="E3" s="7"/>
      <c r="F3" s="7"/>
      <c r="G3" s="7"/>
    </row>
    <row r="4" spans="1:7" ht="15.75" customHeight="1">
      <c r="A4" t="s">
        <v>85</v>
      </c>
      <c r="B4">
        <f aca="true" t="shared" si="0" ref="B4:G4">LOOKUP(B2,$C$24:$K$24,$C$25:$K$25)</f>
        <v>20000</v>
      </c>
      <c r="C4" t="e">
        <f t="shared" si="0"/>
        <v>#N/A</v>
      </c>
      <c r="D4" t="e">
        <f t="shared" si="0"/>
        <v>#N/A</v>
      </c>
      <c r="E4" t="e">
        <f t="shared" si="0"/>
        <v>#N/A</v>
      </c>
      <c r="F4" t="e">
        <f t="shared" si="0"/>
        <v>#N/A</v>
      </c>
      <c r="G4" t="e">
        <f t="shared" si="0"/>
        <v>#N/A</v>
      </c>
    </row>
    <row r="5" spans="1:7" ht="15.75" customHeight="1">
      <c r="A5" t="s">
        <v>86</v>
      </c>
      <c r="B5" s="3">
        <f aca="true" t="shared" si="1" ref="B5:G5">VLOOKUP(B3,$B$26:$K$76,MATCH(B2,$C$24:$K$24,1)+1)</f>
        <v>199.99999999999997</v>
      </c>
      <c r="C5" s="3" t="e">
        <f t="shared" si="1"/>
        <v>#N/A</v>
      </c>
      <c r="D5" s="3" t="e">
        <f t="shared" si="1"/>
        <v>#N/A</v>
      </c>
      <c r="E5" s="3" t="e">
        <f t="shared" si="1"/>
        <v>#N/A</v>
      </c>
      <c r="F5" s="3" t="e">
        <f t="shared" si="1"/>
        <v>#N/A</v>
      </c>
      <c r="G5" s="3" t="e">
        <f t="shared" si="1"/>
        <v>#N/A</v>
      </c>
    </row>
    <row r="6" spans="1:7" ht="15.75" customHeight="1">
      <c r="A6" t="s">
        <v>87</v>
      </c>
      <c r="B6" s="65">
        <v>14</v>
      </c>
      <c r="C6" s="7"/>
      <c r="D6" s="7"/>
      <c r="E6" s="7"/>
      <c r="F6" s="7"/>
      <c r="G6" s="7"/>
    </row>
    <row r="7" spans="1:7" ht="15.75" customHeight="1">
      <c r="A7" t="s">
        <v>88</v>
      </c>
      <c r="B7" s="66">
        <v>5</v>
      </c>
      <c r="C7" s="42"/>
      <c r="D7" s="42"/>
      <c r="E7" s="42"/>
      <c r="F7" s="42"/>
      <c r="G7" s="42"/>
    </row>
    <row r="8" spans="1:7" ht="15.75" customHeight="1">
      <c r="A8" t="s">
        <v>89</v>
      </c>
      <c r="B8" s="1">
        <f aca="true" t="shared" si="2" ref="B8:G8">B4*POWER(B3,4)/3667/B6/B7</f>
        <v>2.180381004324281</v>
      </c>
      <c r="C8" s="1" t="e">
        <f t="shared" si="2"/>
        <v>#N/A</v>
      </c>
      <c r="D8" s="1" t="e">
        <f t="shared" si="2"/>
        <v>#N/A</v>
      </c>
      <c r="E8" s="1" t="e">
        <f t="shared" si="2"/>
        <v>#N/A</v>
      </c>
      <c r="F8" s="1" t="e">
        <f t="shared" si="2"/>
        <v>#N/A</v>
      </c>
      <c r="G8" s="1" t="e">
        <f t="shared" si="2"/>
        <v>#N/A</v>
      </c>
    </row>
    <row r="9" spans="1:7" ht="15.75" customHeight="1">
      <c r="A9" t="s">
        <v>90</v>
      </c>
      <c r="B9" s="67">
        <v>17</v>
      </c>
      <c r="C9" s="43"/>
      <c r="D9" s="43"/>
      <c r="E9" s="43"/>
      <c r="F9" s="43"/>
      <c r="G9" s="43"/>
    </row>
    <row r="10" spans="1:7" ht="15.75" customHeight="1">
      <c r="A10" t="s">
        <v>82</v>
      </c>
      <c r="B10" s="67">
        <v>57</v>
      </c>
      <c r="C10" s="43"/>
      <c r="D10" s="43"/>
      <c r="E10" s="43"/>
      <c r="F10" s="43"/>
      <c r="G10" s="43"/>
    </row>
    <row r="11" spans="1:7" ht="15.75" customHeight="1">
      <c r="A11" t="s">
        <v>91</v>
      </c>
      <c r="B11" s="44">
        <f aca="true" t="shared" si="3" ref="B11:G11">B3*(B7+1)</f>
        <v>13.799999999999999</v>
      </c>
      <c r="C11" s="44">
        <f t="shared" si="3"/>
        <v>0</v>
      </c>
      <c r="D11" s="44">
        <f t="shared" si="3"/>
        <v>0</v>
      </c>
      <c r="E11" s="44">
        <f t="shared" si="3"/>
        <v>0</v>
      </c>
      <c r="F11" s="44">
        <f t="shared" si="3"/>
        <v>0</v>
      </c>
      <c r="G11" s="44">
        <f t="shared" si="3"/>
        <v>0</v>
      </c>
    </row>
    <row r="12" spans="1:7" ht="15.75" customHeight="1">
      <c r="A12" t="s">
        <v>92</v>
      </c>
      <c r="B12" s="44">
        <f aca="true" t="shared" si="4" ref="B12:G12">B3*(B7+1+B10/360)</f>
        <v>14.164166666666665</v>
      </c>
      <c r="C12" s="44">
        <f t="shared" si="4"/>
        <v>0</v>
      </c>
      <c r="D12" s="44">
        <f t="shared" si="4"/>
        <v>0</v>
      </c>
      <c r="E12" s="44">
        <f t="shared" si="4"/>
        <v>0</v>
      </c>
      <c r="F12" s="44">
        <f t="shared" si="4"/>
        <v>0</v>
      </c>
      <c r="G12" s="44">
        <f t="shared" si="4"/>
        <v>0</v>
      </c>
    </row>
    <row r="13" spans="1:7" ht="15.75" customHeight="1">
      <c r="A13" t="s">
        <v>93</v>
      </c>
      <c r="B13" s="1">
        <f aca="true" t="shared" si="5" ref="B13:G13">B8*B9</f>
        <v>37.06647707351278</v>
      </c>
      <c r="C13" s="1" t="e">
        <f t="shared" si="5"/>
        <v>#N/A</v>
      </c>
      <c r="D13" s="1" t="e">
        <f t="shared" si="5"/>
        <v>#N/A</v>
      </c>
      <c r="E13" s="1" t="e">
        <f t="shared" si="5"/>
        <v>#N/A</v>
      </c>
      <c r="F13" s="1" t="e">
        <f t="shared" si="5"/>
        <v>#N/A</v>
      </c>
      <c r="G13" s="1" t="e">
        <f t="shared" si="5"/>
        <v>#N/A</v>
      </c>
    </row>
    <row r="14" spans="1:7" ht="15.75" customHeight="1">
      <c r="A14" t="s">
        <v>94</v>
      </c>
      <c r="B14" s="1">
        <f aca="true" t="shared" si="6" ref="B14:G14">B8*B10</f>
        <v>124.28171724648402</v>
      </c>
      <c r="C14" s="1" t="e">
        <f t="shared" si="6"/>
        <v>#N/A</v>
      </c>
      <c r="D14" s="1" t="e">
        <f t="shared" si="6"/>
        <v>#N/A</v>
      </c>
      <c r="E14" s="1" t="e">
        <f t="shared" si="6"/>
        <v>#N/A</v>
      </c>
      <c r="F14" s="1" t="e">
        <f t="shared" si="6"/>
        <v>#N/A</v>
      </c>
      <c r="G14" s="1" t="e">
        <f t="shared" si="6"/>
        <v>#N/A</v>
      </c>
    </row>
    <row r="15" spans="1:7" ht="15.75" customHeight="1">
      <c r="A15" t="s">
        <v>95</v>
      </c>
      <c r="B15" s="2">
        <f aca="true" t="shared" si="7" ref="B15:G15">B4*B3*B9/360/B6/B7</f>
        <v>31.03174603174603</v>
      </c>
      <c r="C15" s="2" t="e">
        <f t="shared" si="7"/>
        <v>#N/A</v>
      </c>
      <c r="D15" s="2" t="e">
        <f t="shared" si="7"/>
        <v>#N/A</v>
      </c>
      <c r="E15" s="2" t="e">
        <f t="shared" si="7"/>
        <v>#N/A</v>
      </c>
      <c r="F15" s="2" t="e">
        <f t="shared" si="7"/>
        <v>#N/A</v>
      </c>
      <c r="G15" s="2" t="e">
        <f t="shared" si="7"/>
        <v>#N/A</v>
      </c>
    </row>
    <row r="16" spans="1:7" ht="15.75" customHeight="1">
      <c r="A16" t="s">
        <v>96</v>
      </c>
      <c r="B16" s="2">
        <f aca="true" t="shared" si="8" ref="B16:G16">B4*B3*B10/360/B6/B7</f>
        <v>104.04761904761904</v>
      </c>
      <c r="C16" s="2" t="e">
        <f t="shared" si="8"/>
        <v>#N/A</v>
      </c>
      <c r="D16" s="2" t="e">
        <f t="shared" si="8"/>
        <v>#N/A</v>
      </c>
      <c r="E16" s="2" t="e">
        <f t="shared" si="8"/>
        <v>#N/A</v>
      </c>
      <c r="F16" s="2" t="e">
        <f t="shared" si="8"/>
        <v>#N/A</v>
      </c>
      <c r="G16" s="2" t="e">
        <f t="shared" si="8"/>
        <v>#N/A</v>
      </c>
    </row>
    <row r="17" spans="1:7" ht="15.75" customHeight="1">
      <c r="A17" t="s">
        <v>97</v>
      </c>
      <c r="B17" s="2">
        <f aca="true" t="shared" si="9" ref="B17:G17">B16*(4*POWER((B6/B3),2)-B6/B3-1)/4/(B6/B3)/(B6/B3-1)</f>
        <v>118.54790612826325</v>
      </c>
      <c r="C17" s="2" t="e">
        <f t="shared" si="9"/>
        <v>#N/A</v>
      </c>
      <c r="D17" s="2" t="e">
        <f t="shared" si="9"/>
        <v>#N/A</v>
      </c>
      <c r="E17" s="2" t="e">
        <f t="shared" si="9"/>
        <v>#N/A</v>
      </c>
      <c r="F17" s="2" t="e">
        <f t="shared" si="9"/>
        <v>#N/A</v>
      </c>
      <c r="G17" s="2" t="e">
        <f t="shared" si="9"/>
        <v>#N/A</v>
      </c>
    </row>
    <row r="18" spans="1:7" ht="15.75" customHeight="1">
      <c r="A18" t="s">
        <v>98</v>
      </c>
      <c r="B18" s="45">
        <f aca="true" t="shared" si="10" ref="B18:G18">B17/B5</f>
        <v>0.5927395306413163</v>
      </c>
      <c r="C18" s="45" t="e">
        <f t="shared" si="10"/>
        <v>#N/A</v>
      </c>
      <c r="D18" s="45" t="e">
        <f t="shared" si="10"/>
        <v>#N/A</v>
      </c>
      <c r="E18" s="45" t="e">
        <f t="shared" si="10"/>
        <v>#N/A</v>
      </c>
      <c r="F18" s="45" t="e">
        <f t="shared" si="10"/>
        <v>#N/A</v>
      </c>
      <c r="G18" s="45" t="e">
        <f t="shared" si="10"/>
        <v>#N/A</v>
      </c>
    </row>
    <row r="19" spans="1:7" ht="15.75" customHeight="1">
      <c r="A19" t="s">
        <v>99</v>
      </c>
      <c r="B19" s="44">
        <f aca="true" t="shared" si="11" ref="B19:G19">B15/B16</f>
        <v>0.29824561403508776</v>
      </c>
      <c r="C19" s="44" t="e">
        <f t="shared" si="11"/>
        <v>#N/A</v>
      </c>
      <c r="D19" s="44" t="e">
        <f t="shared" si="11"/>
        <v>#N/A</v>
      </c>
      <c r="E19" s="44" t="e">
        <f t="shared" si="11"/>
        <v>#N/A</v>
      </c>
      <c r="F19" s="44" t="e">
        <f t="shared" si="11"/>
        <v>#N/A</v>
      </c>
      <c r="G19" s="44" t="e">
        <f t="shared" si="11"/>
        <v>#N/A</v>
      </c>
    </row>
    <row r="20" spans="1:7" ht="15.75" customHeight="1">
      <c r="A20" t="s">
        <v>100</v>
      </c>
      <c r="B20" s="44">
        <f aca="true" t="shared" si="12" ref="B20:G20">B6-B3-(B10*B6/360/B7)</f>
        <v>11.256666666666666</v>
      </c>
      <c r="C20" s="44" t="e">
        <f t="shared" si="12"/>
        <v>#DIV/0!</v>
      </c>
      <c r="D20" s="44" t="e">
        <f t="shared" si="12"/>
        <v>#DIV/0!</v>
      </c>
      <c r="E20" s="44" t="e">
        <f t="shared" si="12"/>
        <v>#DIV/0!</v>
      </c>
      <c r="F20" s="44" t="e">
        <f t="shared" si="12"/>
        <v>#DIV/0!</v>
      </c>
      <c r="G20" s="44" t="e">
        <f t="shared" si="12"/>
        <v>#DIV/0!</v>
      </c>
    </row>
    <row r="24" spans="2:11" ht="15" hidden="1" thickBot="1" thickTop="1">
      <c r="B24" s="46"/>
      <c r="C24" s="47" t="s">
        <v>101</v>
      </c>
      <c r="D24" s="47" t="s">
        <v>102</v>
      </c>
      <c r="E24" s="47" t="s">
        <v>103</v>
      </c>
      <c r="F24" s="47" t="s">
        <v>104</v>
      </c>
      <c r="G24" s="47" t="s">
        <v>105</v>
      </c>
      <c r="H24" s="47" t="s">
        <v>106</v>
      </c>
      <c r="I24" s="47" t="s">
        <v>107</v>
      </c>
      <c r="J24" s="47" t="s">
        <v>108</v>
      </c>
      <c r="K24" s="48" t="s">
        <v>109</v>
      </c>
    </row>
    <row r="25" spans="2:11" ht="15" hidden="1" thickBot="1" thickTop="1">
      <c r="B25" s="49" t="s">
        <v>29</v>
      </c>
      <c r="C25" s="50">
        <v>18000</v>
      </c>
      <c r="D25" s="50">
        <v>18000</v>
      </c>
      <c r="E25" s="50">
        <v>18000</v>
      </c>
      <c r="F25" s="50">
        <v>20000</v>
      </c>
      <c r="G25" s="50">
        <v>20000</v>
      </c>
      <c r="H25" s="50">
        <v>20000</v>
      </c>
      <c r="I25" s="50">
        <v>20000</v>
      </c>
      <c r="J25" s="50">
        <v>20000</v>
      </c>
      <c r="K25" s="51">
        <v>20000</v>
      </c>
    </row>
    <row r="26" spans="2:11" ht="14.25" hidden="1" thickTop="1">
      <c r="B26" s="52">
        <v>0.08</v>
      </c>
      <c r="C26" s="53">
        <f aca="true" t="shared" si="13" ref="C26:C33">1650/9.8</f>
        <v>168.3673469387755</v>
      </c>
      <c r="D26" s="53">
        <f aca="true" t="shared" si="14" ref="D26:D33">2150/9.8</f>
        <v>219.3877551020408</v>
      </c>
      <c r="E26" s="54"/>
      <c r="F26" s="53">
        <f>2110/9.8</f>
        <v>215.30612244897958</v>
      </c>
      <c r="G26" s="53">
        <f>2450/9.8</f>
        <v>249.99999999999997</v>
      </c>
      <c r="H26" s="53">
        <f>2790/9.8</f>
        <v>284.69387755102036</v>
      </c>
      <c r="I26" s="53">
        <f>2890/9.8</f>
        <v>294.89795918367344</v>
      </c>
      <c r="J26" s="53">
        <f>3190/9.8</f>
        <v>325.51020408163265</v>
      </c>
      <c r="K26" s="55"/>
    </row>
    <row r="27" spans="2:11" ht="13.5" hidden="1">
      <c r="B27" s="52">
        <v>0.09</v>
      </c>
      <c r="C27" s="53">
        <f t="shared" si="13"/>
        <v>168.3673469387755</v>
      </c>
      <c r="D27" s="53">
        <f t="shared" si="14"/>
        <v>219.3877551020408</v>
      </c>
      <c r="E27" s="54"/>
      <c r="F27" s="53">
        <f>2060/9.8</f>
        <v>210.20408163265304</v>
      </c>
      <c r="G27" s="53">
        <f>2400/9.8</f>
        <v>244.89795918367346</v>
      </c>
      <c r="H27" s="53">
        <f>2750/9.8</f>
        <v>280.61224489795916</v>
      </c>
      <c r="I27" s="53">
        <f>2840/9.8</f>
        <v>289.7959183673469</v>
      </c>
      <c r="J27" s="53">
        <f>3140/9.8</f>
        <v>320.4081632653061</v>
      </c>
      <c r="K27" s="55"/>
    </row>
    <row r="28" spans="2:11" ht="13.5" hidden="1">
      <c r="B28" s="52">
        <v>0.1</v>
      </c>
      <c r="C28" s="53">
        <f t="shared" si="13"/>
        <v>168.3673469387755</v>
      </c>
      <c r="D28" s="53">
        <f t="shared" si="14"/>
        <v>219.3877551020408</v>
      </c>
      <c r="E28" s="54"/>
      <c r="F28" s="53">
        <f>2010/9.8</f>
        <v>205.1020408163265</v>
      </c>
      <c r="G28" s="53">
        <f>2350/9.8</f>
        <v>239.79591836734693</v>
      </c>
      <c r="H28" s="53">
        <f>2700/9.8</f>
        <v>275.51020408163265</v>
      </c>
      <c r="I28" s="53">
        <f>2790/9.8</f>
        <v>284.69387755102036</v>
      </c>
      <c r="J28" s="53">
        <f>3090/9.8</f>
        <v>315.3061224489796</v>
      </c>
      <c r="K28" s="55"/>
    </row>
    <row r="29" spans="2:11" ht="13.5" hidden="1">
      <c r="B29" s="52">
        <v>0.12</v>
      </c>
      <c r="C29" s="53">
        <f t="shared" si="13"/>
        <v>168.3673469387755</v>
      </c>
      <c r="D29" s="53">
        <f t="shared" si="14"/>
        <v>219.3877551020408</v>
      </c>
      <c r="E29" s="54"/>
      <c r="F29" s="53">
        <f>1960/9.8</f>
        <v>199.99999999999997</v>
      </c>
      <c r="G29" s="53">
        <f>2300/9.8</f>
        <v>234.6938775510204</v>
      </c>
      <c r="H29" s="53">
        <f>2650/9.8</f>
        <v>270.4081632653061</v>
      </c>
      <c r="I29" s="53">
        <f>2750/9.8</f>
        <v>280.61224489795916</v>
      </c>
      <c r="J29" s="53">
        <f>3040/9.8</f>
        <v>310.204081632653</v>
      </c>
      <c r="K29" s="55"/>
    </row>
    <row r="30" spans="2:11" ht="13.5" hidden="1">
      <c r="B30" s="52">
        <v>0.14</v>
      </c>
      <c r="C30" s="53">
        <f t="shared" si="13"/>
        <v>168.3673469387755</v>
      </c>
      <c r="D30" s="53">
        <f t="shared" si="14"/>
        <v>219.3877551020408</v>
      </c>
      <c r="E30" s="54"/>
      <c r="F30" s="53">
        <f>1960/9.8</f>
        <v>199.99999999999997</v>
      </c>
      <c r="G30" s="53">
        <f>2260/9.8</f>
        <v>230.61224489795916</v>
      </c>
      <c r="H30" s="53">
        <f>2600/9.8</f>
        <v>265.3061224489796</v>
      </c>
      <c r="I30" s="53">
        <f>2700/9.8</f>
        <v>275.51020408163265</v>
      </c>
      <c r="J30" s="53">
        <f>2990/9.8</f>
        <v>305.1020408163265</v>
      </c>
      <c r="K30" s="55"/>
    </row>
    <row r="31" spans="2:11" ht="13.5" hidden="1">
      <c r="B31" s="52">
        <v>0.16</v>
      </c>
      <c r="C31" s="53">
        <f t="shared" si="13"/>
        <v>168.3673469387755</v>
      </c>
      <c r="D31" s="53">
        <f t="shared" si="14"/>
        <v>219.3877551020408</v>
      </c>
      <c r="E31" s="54"/>
      <c r="F31" s="53">
        <f>1910/9.8</f>
        <v>194.89795918367346</v>
      </c>
      <c r="G31" s="53">
        <f>2210/9.8</f>
        <v>225.51020408163265</v>
      </c>
      <c r="H31" s="53">
        <f>2550/9.8</f>
        <v>260.204081632653</v>
      </c>
      <c r="I31" s="53">
        <f>2650/9.8</f>
        <v>270.4081632653061</v>
      </c>
      <c r="J31" s="53">
        <f>2940/9.8</f>
        <v>300</v>
      </c>
      <c r="K31" s="55"/>
    </row>
    <row r="32" spans="2:11" ht="13.5" hidden="1">
      <c r="B32" s="52">
        <v>0.18</v>
      </c>
      <c r="C32" s="53">
        <f t="shared" si="13"/>
        <v>168.3673469387755</v>
      </c>
      <c r="D32" s="53">
        <f t="shared" si="14"/>
        <v>219.3877551020408</v>
      </c>
      <c r="E32" s="54"/>
      <c r="F32" s="53">
        <f>1910/9.8</f>
        <v>194.89795918367346</v>
      </c>
      <c r="G32" s="53">
        <f>2210/9.8</f>
        <v>225.51020408163265</v>
      </c>
      <c r="H32" s="53">
        <f>2500/9.8</f>
        <v>255.1020408163265</v>
      </c>
      <c r="I32" s="53">
        <f>2600/9.8</f>
        <v>265.3061224489796</v>
      </c>
      <c r="J32" s="53">
        <f>2890/9.8</f>
        <v>294.89795918367344</v>
      </c>
      <c r="K32" s="55"/>
    </row>
    <row r="33" spans="2:11" ht="13.5" hidden="1">
      <c r="B33" s="52">
        <v>0.2</v>
      </c>
      <c r="C33" s="53">
        <f t="shared" si="13"/>
        <v>168.3673469387755</v>
      </c>
      <c r="D33" s="53">
        <f t="shared" si="14"/>
        <v>219.3877551020408</v>
      </c>
      <c r="E33" s="54"/>
      <c r="F33" s="53">
        <f>1910/9.8</f>
        <v>194.89795918367346</v>
      </c>
      <c r="G33" s="53">
        <f>2160/9.8</f>
        <v>220.40816326530611</v>
      </c>
      <c r="H33" s="53">
        <f>2500/9.8</f>
        <v>255.1020408163265</v>
      </c>
      <c r="I33" s="53">
        <f>2600/9.8</f>
        <v>265.3061224489796</v>
      </c>
      <c r="J33" s="53">
        <f>2840/9.8</f>
        <v>289.7959183673469</v>
      </c>
      <c r="K33" s="55"/>
    </row>
    <row r="34" spans="2:11" ht="13.5" hidden="1">
      <c r="B34" s="52">
        <v>0.23</v>
      </c>
      <c r="C34" s="53">
        <f aca="true" t="shared" si="15" ref="C34:C43">1600/9.8</f>
        <v>163.26530612244898</v>
      </c>
      <c r="D34" s="53">
        <f aca="true" t="shared" si="16" ref="D34:D39">2050/9.8</f>
        <v>209.18367346938774</v>
      </c>
      <c r="E34" s="54"/>
      <c r="F34" s="53">
        <f>1860/9.8</f>
        <v>189.79591836734693</v>
      </c>
      <c r="G34" s="53">
        <f>2110/9.8</f>
        <v>215.30612244897958</v>
      </c>
      <c r="H34" s="53">
        <f>2450/9.8</f>
        <v>249.99999999999997</v>
      </c>
      <c r="I34" s="53">
        <f>2550/9.8</f>
        <v>260.204081632653</v>
      </c>
      <c r="J34" s="53">
        <f>2790/9.8</f>
        <v>284.69387755102036</v>
      </c>
      <c r="K34" s="55"/>
    </row>
    <row r="35" spans="2:11" ht="13.5" hidden="1">
      <c r="B35" s="52">
        <v>0.26</v>
      </c>
      <c r="C35" s="53">
        <f t="shared" si="15"/>
        <v>163.26530612244898</v>
      </c>
      <c r="D35" s="53">
        <f t="shared" si="16"/>
        <v>209.18367346938774</v>
      </c>
      <c r="E35" s="54"/>
      <c r="F35" s="53">
        <f>1810/9.8</f>
        <v>184.6938775510204</v>
      </c>
      <c r="G35" s="53">
        <f>2060/9.8</f>
        <v>210.20408163265304</v>
      </c>
      <c r="H35" s="53">
        <f>2400/9.8</f>
        <v>244.89795918367346</v>
      </c>
      <c r="I35" s="53">
        <f>2500/9.8</f>
        <v>255.1020408163265</v>
      </c>
      <c r="J35" s="53">
        <f>2750/9.8</f>
        <v>280.61224489795916</v>
      </c>
      <c r="K35" s="55"/>
    </row>
    <row r="36" spans="2:11" ht="13.5" hidden="1">
      <c r="B36" s="52">
        <v>0.29</v>
      </c>
      <c r="C36" s="53">
        <f t="shared" si="15"/>
        <v>163.26530612244898</v>
      </c>
      <c r="D36" s="53">
        <f t="shared" si="16"/>
        <v>209.18367346938774</v>
      </c>
      <c r="E36" s="54"/>
      <c r="F36" s="53">
        <f>1770/9.8</f>
        <v>180.61224489795916</v>
      </c>
      <c r="G36" s="53">
        <f>2010/9.8</f>
        <v>205.1020408163265</v>
      </c>
      <c r="H36" s="53">
        <f>2350/9.8</f>
        <v>239.79591836734693</v>
      </c>
      <c r="I36" s="53">
        <f>2450/9.8</f>
        <v>249.99999999999997</v>
      </c>
      <c r="J36" s="53">
        <f>2700/9.8</f>
        <v>275.51020408163265</v>
      </c>
      <c r="K36" s="55"/>
    </row>
    <row r="37" spans="2:11" ht="13.5" hidden="1">
      <c r="B37" s="52">
        <v>0.32</v>
      </c>
      <c r="C37" s="53">
        <f t="shared" si="15"/>
        <v>163.26530612244898</v>
      </c>
      <c r="D37" s="53">
        <f t="shared" si="16"/>
        <v>209.18367346938774</v>
      </c>
      <c r="E37" s="54"/>
      <c r="F37" s="53">
        <f>1720/9.8</f>
        <v>175.51020408163265</v>
      </c>
      <c r="G37" s="53">
        <f>2010/9.8</f>
        <v>205.1020408163265</v>
      </c>
      <c r="H37" s="53">
        <f>2300/9.8</f>
        <v>234.6938775510204</v>
      </c>
      <c r="I37" s="53">
        <f>2400/9.8</f>
        <v>244.89795918367346</v>
      </c>
      <c r="J37" s="53">
        <f>2650/9.8</f>
        <v>270.4081632653061</v>
      </c>
      <c r="K37" s="55"/>
    </row>
    <row r="38" spans="2:11" ht="13.5" hidden="1">
      <c r="B38" s="52">
        <v>0.35</v>
      </c>
      <c r="C38" s="53">
        <f t="shared" si="15"/>
        <v>163.26530612244898</v>
      </c>
      <c r="D38" s="53">
        <f t="shared" si="16"/>
        <v>209.18367346938774</v>
      </c>
      <c r="E38" s="54"/>
      <c r="F38" s="53">
        <f>1720/9.8</f>
        <v>175.51020408163265</v>
      </c>
      <c r="G38" s="53">
        <f>1960/9.8</f>
        <v>199.99999999999997</v>
      </c>
      <c r="H38" s="53">
        <f>2300/9.8</f>
        <v>234.6938775510204</v>
      </c>
      <c r="I38" s="53">
        <f>2400/9.8</f>
        <v>244.89795918367346</v>
      </c>
      <c r="J38" s="53">
        <f>2650/9.8</f>
        <v>270.4081632653061</v>
      </c>
      <c r="K38" s="55"/>
    </row>
    <row r="39" spans="2:11" ht="13.5" hidden="1">
      <c r="B39" s="52">
        <v>0.4</v>
      </c>
      <c r="C39" s="53">
        <f t="shared" si="15"/>
        <v>163.26530612244898</v>
      </c>
      <c r="D39" s="53">
        <f t="shared" si="16"/>
        <v>209.18367346938774</v>
      </c>
      <c r="E39" s="54"/>
      <c r="F39" s="53">
        <f>1670/9.8</f>
        <v>170.40816326530611</v>
      </c>
      <c r="G39" s="53">
        <f>1910/9.8</f>
        <v>194.89795918367346</v>
      </c>
      <c r="H39" s="53">
        <f>2260/9.8</f>
        <v>230.61224489795916</v>
      </c>
      <c r="I39" s="53">
        <f>2350/9.8</f>
        <v>239.79591836734693</v>
      </c>
      <c r="J39" s="53">
        <f>2600/9.8</f>
        <v>265.3061224489796</v>
      </c>
      <c r="K39" s="55"/>
    </row>
    <row r="40" spans="2:11" ht="13.5" hidden="1">
      <c r="B40" s="52">
        <v>0.45</v>
      </c>
      <c r="C40" s="53">
        <f t="shared" si="15"/>
        <v>163.26530612244898</v>
      </c>
      <c r="D40" s="53">
        <f>1950/9.8</f>
        <v>198.97959183673467</v>
      </c>
      <c r="E40" s="54"/>
      <c r="F40" s="53">
        <f>1620/9.8</f>
        <v>165.30612244897958</v>
      </c>
      <c r="G40" s="53">
        <f>1910/9.8</f>
        <v>194.89795918367346</v>
      </c>
      <c r="H40" s="53">
        <f>2210/9.8</f>
        <v>225.51020408163265</v>
      </c>
      <c r="I40" s="53">
        <f>2300/9.8</f>
        <v>234.6938775510204</v>
      </c>
      <c r="J40" s="53">
        <f>2550/9.8</f>
        <v>260.204081632653</v>
      </c>
      <c r="K40" s="55"/>
    </row>
    <row r="41" spans="2:11" ht="13.5" hidden="1">
      <c r="B41" s="52">
        <v>0.5</v>
      </c>
      <c r="C41" s="53">
        <f t="shared" si="15"/>
        <v>163.26530612244898</v>
      </c>
      <c r="D41" s="53">
        <f>1950/9.8</f>
        <v>198.97959183673467</v>
      </c>
      <c r="E41" s="54"/>
      <c r="F41" s="53">
        <f>1620/9.8</f>
        <v>165.30612244897958</v>
      </c>
      <c r="G41" s="53">
        <f>1910/9.8</f>
        <v>194.89795918367346</v>
      </c>
      <c r="H41" s="53">
        <f>2210/9.8</f>
        <v>225.51020408163265</v>
      </c>
      <c r="I41" s="53">
        <f>2300/9.8</f>
        <v>234.6938775510204</v>
      </c>
      <c r="J41" s="53">
        <f>2550/9.8</f>
        <v>260.204081632653</v>
      </c>
      <c r="K41" s="55"/>
    </row>
    <row r="42" spans="2:11" ht="13.5" hidden="1">
      <c r="B42" s="52">
        <v>0.55</v>
      </c>
      <c r="C42" s="53">
        <f t="shared" si="15"/>
        <v>163.26530612244898</v>
      </c>
      <c r="D42" s="53">
        <f>1950/9.8</f>
        <v>198.97959183673467</v>
      </c>
      <c r="E42" s="54"/>
      <c r="F42" s="53">
        <f>1570/9.8</f>
        <v>160.20408163265304</v>
      </c>
      <c r="G42" s="53">
        <f>1860/9.8</f>
        <v>189.79591836734693</v>
      </c>
      <c r="H42" s="53">
        <f>2160/9.8</f>
        <v>220.40816326530611</v>
      </c>
      <c r="I42" s="53">
        <f>2260/9.8</f>
        <v>230.61224489795916</v>
      </c>
      <c r="J42" s="53">
        <f>2500/9.8</f>
        <v>255.1020408163265</v>
      </c>
      <c r="K42" s="55"/>
    </row>
    <row r="43" spans="2:11" ht="13.5" hidden="1">
      <c r="B43" s="52">
        <v>0.6</v>
      </c>
      <c r="C43" s="53">
        <f t="shared" si="15"/>
        <v>163.26530612244898</v>
      </c>
      <c r="D43" s="53">
        <f>1950/9.8</f>
        <v>198.97959183673467</v>
      </c>
      <c r="E43" s="54"/>
      <c r="F43" s="53">
        <f>1570/9.8</f>
        <v>160.20408163265304</v>
      </c>
      <c r="G43" s="53">
        <f>1810/9.8</f>
        <v>184.6938775510204</v>
      </c>
      <c r="H43" s="53">
        <f>2110/9.8</f>
        <v>215.30612244897958</v>
      </c>
      <c r="I43" s="53">
        <f>2210/9.8</f>
        <v>225.51020408163265</v>
      </c>
      <c r="J43" s="53">
        <f>2450/9.8</f>
        <v>249.99999999999997</v>
      </c>
      <c r="K43" s="55"/>
    </row>
    <row r="44" spans="2:11" ht="13.5" hidden="1">
      <c r="B44" s="52">
        <v>0.65</v>
      </c>
      <c r="C44" s="53">
        <f>1530/9.8</f>
        <v>156.12244897959184</v>
      </c>
      <c r="D44" s="53">
        <f>1850/9.8</f>
        <v>188.77551020408163</v>
      </c>
      <c r="E44" s="54"/>
      <c r="F44" s="53">
        <f>1570/9.8</f>
        <v>160.20408163265304</v>
      </c>
      <c r="G44" s="53">
        <f>1810/9.8</f>
        <v>184.6938775510204</v>
      </c>
      <c r="H44" s="53">
        <f>2110/9.8</f>
        <v>215.30612244897958</v>
      </c>
      <c r="I44" s="53">
        <f>2210/9.8</f>
        <v>225.51020408163265</v>
      </c>
      <c r="J44" s="53">
        <f>2450/9.8</f>
        <v>249.99999999999997</v>
      </c>
      <c r="K44" s="55"/>
    </row>
    <row r="45" spans="2:11" ht="13.5" hidden="1">
      <c r="B45" s="52">
        <v>0.7</v>
      </c>
      <c r="C45" s="53">
        <f>1530/9.8</f>
        <v>156.12244897959184</v>
      </c>
      <c r="D45" s="53">
        <f>1850/9.8</f>
        <v>188.77551020408163</v>
      </c>
      <c r="E45" s="54"/>
      <c r="F45" s="53">
        <f>1520/9.8</f>
        <v>155.1020408163265</v>
      </c>
      <c r="G45" s="53">
        <f>1770/9.8</f>
        <v>180.61224489795916</v>
      </c>
      <c r="H45" s="53">
        <f>2060/9.8</f>
        <v>210.20408163265304</v>
      </c>
      <c r="I45" s="53">
        <f>2160/9.8</f>
        <v>220.40816326530611</v>
      </c>
      <c r="J45" s="53">
        <f>2400/9.8</f>
        <v>244.89795918367346</v>
      </c>
      <c r="K45" s="55"/>
    </row>
    <row r="46" spans="2:11" ht="13.5" hidden="1">
      <c r="B46" s="52">
        <v>0.8</v>
      </c>
      <c r="C46" s="53">
        <f>1530/9.8</f>
        <v>156.12244897959184</v>
      </c>
      <c r="D46" s="53">
        <f>1850/9.8</f>
        <v>188.77551020408163</v>
      </c>
      <c r="E46" s="54"/>
      <c r="F46" s="53">
        <f>1520/9.8</f>
        <v>155.1020408163265</v>
      </c>
      <c r="G46" s="53">
        <f>1770/9.8</f>
        <v>180.61224489795916</v>
      </c>
      <c r="H46" s="53">
        <f>2010/9.8</f>
        <v>205.1020408163265</v>
      </c>
      <c r="I46" s="53">
        <f>2110/9.8</f>
        <v>215.30612244897958</v>
      </c>
      <c r="J46" s="53">
        <f>2350/9.8</f>
        <v>239.79591836734693</v>
      </c>
      <c r="K46" s="55"/>
    </row>
    <row r="47" spans="2:11" ht="13.5" hidden="1">
      <c r="B47" s="52">
        <v>0.9</v>
      </c>
      <c r="C47" s="53">
        <f>1530/9.8</f>
        <v>156.12244897959184</v>
      </c>
      <c r="D47" s="53">
        <f>1850/9.8</f>
        <v>188.77551020408163</v>
      </c>
      <c r="E47" s="54"/>
      <c r="F47" s="53">
        <f>1520/9.8</f>
        <v>155.1020408163265</v>
      </c>
      <c r="G47" s="53">
        <f>1770/9.8</f>
        <v>180.61224489795916</v>
      </c>
      <c r="H47" s="53">
        <f>2010/9.8</f>
        <v>205.1020408163265</v>
      </c>
      <c r="I47" s="53">
        <f>2110/9.8</f>
        <v>215.30612244897958</v>
      </c>
      <c r="J47" s="53">
        <f>2300/9.8</f>
        <v>234.6938775510204</v>
      </c>
      <c r="K47" s="55"/>
    </row>
    <row r="48" spans="2:11" ht="13.5" hidden="1">
      <c r="B48" s="52">
        <v>1</v>
      </c>
      <c r="C48" s="53">
        <f>1530/9.8</f>
        <v>156.12244897959184</v>
      </c>
      <c r="D48" s="53">
        <f>1850/9.8</f>
        <v>188.77551020408163</v>
      </c>
      <c r="E48" s="54"/>
      <c r="F48" s="53">
        <f>1470/9.8</f>
        <v>150</v>
      </c>
      <c r="G48" s="53">
        <f>1720/9.8</f>
        <v>175.51020408163265</v>
      </c>
      <c r="H48" s="53">
        <f>1960/9.8</f>
        <v>199.99999999999997</v>
      </c>
      <c r="I48" s="53">
        <f>2060/9.8</f>
        <v>210.20408163265304</v>
      </c>
      <c r="J48" s="53">
        <f>2260/9.8</f>
        <v>230.61224489795916</v>
      </c>
      <c r="K48" s="55">
        <f>2010/9.8</f>
        <v>205.1020408163265</v>
      </c>
    </row>
    <row r="49" spans="2:11" ht="13.5" hidden="1">
      <c r="B49" s="56">
        <v>1.1</v>
      </c>
      <c r="C49" s="57">
        <f>1450/9.8</f>
        <v>147.95918367346937</v>
      </c>
      <c r="D49" s="57">
        <f>1750/9.8</f>
        <v>178.57142857142856</v>
      </c>
      <c r="E49" s="58"/>
      <c r="F49" s="57">
        <f>1420/9.8</f>
        <v>144.89795918367346</v>
      </c>
      <c r="G49" s="57">
        <f>1670/9.8</f>
        <v>170.40816326530611</v>
      </c>
      <c r="H49" s="57">
        <f>1910/9.8</f>
        <v>194.89795918367346</v>
      </c>
      <c r="I49" s="57">
        <f>2010/9.8</f>
        <v>205.1020408163265</v>
      </c>
      <c r="J49" s="57">
        <f>2210/9.8</f>
        <v>225.51020408163265</v>
      </c>
      <c r="K49" s="59">
        <f>1960/9.8</f>
        <v>199.99999999999997</v>
      </c>
    </row>
    <row r="50" spans="2:11" ht="13.5" hidden="1">
      <c r="B50" s="52">
        <v>1.2</v>
      </c>
      <c r="C50" s="53">
        <f>1450/9.8</f>
        <v>147.95918367346937</v>
      </c>
      <c r="D50" s="53">
        <f>1750/9.8</f>
        <v>178.57142857142856</v>
      </c>
      <c r="E50" s="54"/>
      <c r="F50" s="53">
        <f>1420/9.8</f>
        <v>144.89795918367346</v>
      </c>
      <c r="G50" s="53">
        <f>1670/9.8</f>
        <v>170.40816326530611</v>
      </c>
      <c r="H50" s="53">
        <f>1910/9.8</f>
        <v>194.89795918367346</v>
      </c>
      <c r="I50" s="53">
        <f>2010/9.8</f>
        <v>205.1020408163265</v>
      </c>
      <c r="J50" s="53">
        <f>2210/9.8</f>
        <v>225.51020408163265</v>
      </c>
      <c r="K50" s="55">
        <f>1960/9.8</f>
        <v>199.99999999999997</v>
      </c>
    </row>
    <row r="51" spans="2:11" ht="13.5" hidden="1">
      <c r="B51" s="56">
        <v>1.3</v>
      </c>
      <c r="C51" s="57">
        <f>1450/9.8</f>
        <v>147.95918367346937</v>
      </c>
      <c r="D51" s="57">
        <f>1750/9.8</f>
        <v>178.57142857142856</v>
      </c>
      <c r="E51" s="60"/>
      <c r="F51" s="57">
        <f>1370/9.8</f>
        <v>139.79591836734693</v>
      </c>
      <c r="G51" s="57">
        <f>1620/9.8</f>
        <v>165.30612244897958</v>
      </c>
      <c r="H51" s="57">
        <f>1860/9.8</f>
        <v>189.79591836734693</v>
      </c>
      <c r="I51" s="57">
        <f>1960/9.8</f>
        <v>199.99999999999997</v>
      </c>
      <c r="J51" s="57">
        <f>2160/9.8</f>
        <v>220.40816326530611</v>
      </c>
      <c r="K51" s="59">
        <f>1910/9.8</f>
        <v>194.89795918367346</v>
      </c>
    </row>
    <row r="52" spans="2:11" ht="13.5" hidden="1">
      <c r="B52" s="52">
        <v>1.4</v>
      </c>
      <c r="C52" s="53">
        <f>1450/9.8</f>
        <v>147.95918367346937</v>
      </c>
      <c r="D52" s="53">
        <f>1750/9.8</f>
        <v>178.57142857142856</v>
      </c>
      <c r="E52" s="54"/>
      <c r="F52" s="53">
        <f>1370/9.8</f>
        <v>139.79591836734693</v>
      </c>
      <c r="G52" s="53">
        <f>1620/9.8</f>
        <v>165.30612244897958</v>
      </c>
      <c r="H52" s="53">
        <f>1860/9.8</f>
        <v>189.79591836734693</v>
      </c>
      <c r="I52" s="53">
        <f>1960/9.8</f>
        <v>199.99999999999997</v>
      </c>
      <c r="J52" s="53">
        <f>2160/9.8</f>
        <v>220.40816326530611</v>
      </c>
      <c r="K52" s="55">
        <f>1910/9.8</f>
        <v>194.89795918367346</v>
      </c>
    </row>
    <row r="53" spans="2:11" ht="13.5" hidden="1">
      <c r="B53" s="56">
        <v>1.5</v>
      </c>
      <c r="C53" s="57">
        <f aca="true" t="shared" si="17" ref="C53:C58">1400/9.8</f>
        <v>142.85714285714283</v>
      </c>
      <c r="D53" s="57">
        <f aca="true" t="shared" si="18" ref="D53:D58">1650/9.8</f>
        <v>168.3673469387755</v>
      </c>
      <c r="E53" s="60"/>
      <c r="F53" s="57">
        <f>1320/9.8</f>
        <v>134.6938775510204</v>
      </c>
      <c r="G53" s="57">
        <f>1570/9.8</f>
        <v>160.20408163265304</v>
      </c>
      <c r="H53" s="57">
        <f>1810/9.8</f>
        <v>184.6938775510204</v>
      </c>
      <c r="I53" s="57">
        <f>1910/9.8</f>
        <v>194.89795918367346</v>
      </c>
      <c r="J53" s="57">
        <f>2110/9.8</f>
        <v>215.30612244897958</v>
      </c>
      <c r="K53" s="59">
        <f>1860/9.8</f>
        <v>189.79591836734693</v>
      </c>
    </row>
    <row r="54" spans="2:11" ht="13.5" hidden="1">
      <c r="B54" s="52">
        <v>1.6</v>
      </c>
      <c r="C54" s="53">
        <f t="shared" si="17"/>
        <v>142.85714285714283</v>
      </c>
      <c r="D54" s="53">
        <f t="shared" si="18"/>
        <v>168.3673469387755</v>
      </c>
      <c r="E54" s="54"/>
      <c r="F54" s="53">
        <f>1320/9.8</f>
        <v>134.6938775510204</v>
      </c>
      <c r="G54" s="53">
        <f>1570/9.8</f>
        <v>160.20408163265304</v>
      </c>
      <c r="H54" s="53">
        <f>1810/9.8</f>
        <v>184.6938775510204</v>
      </c>
      <c r="I54" s="53">
        <f>1910/9.8</f>
        <v>194.89795918367346</v>
      </c>
      <c r="J54" s="53">
        <f>2110/9.8</f>
        <v>215.30612244897958</v>
      </c>
      <c r="K54" s="55">
        <f>1860/9.8</f>
        <v>189.79591836734693</v>
      </c>
    </row>
    <row r="55" spans="2:11" ht="13.5" hidden="1">
      <c r="B55" s="56">
        <v>1.7</v>
      </c>
      <c r="C55" s="57">
        <f t="shared" si="17"/>
        <v>142.85714285714283</v>
      </c>
      <c r="D55" s="57">
        <f t="shared" si="18"/>
        <v>168.3673469387755</v>
      </c>
      <c r="E55" s="60"/>
      <c r="F55" s="57">
        <f>1270/9.8</f>
        <v>129.59183673469386</v>
      </c>
      <c r="G55" s="57">
        <f>1520/9.8</f>
        <v>155.1020408163265</v>
      </c>
      <c r="H55" s="57">
        <f>1770/9.8</f>
        <v>180.61224489795916</v>
      </c>
      <c r="I55" s="57">
        <f>1860/9.8</f>
        <v>189.79591836734693</v>
      </c>
      <c r="J55" s="57">
        <f>2060/9.8</f>
        <v>210.20408163265304</v>
      </c>
      <c r="K55" s="59">
        <f>1810/9.8</f>
        <v>184.6938775510204</v>
      </c>
    </row>
    <row r="56" spans="2:11" ht="13.5" hidden="1">
      <c r="B56" s="52">
        <v>1.8</v>
      </c>
      <c r="C56" s="53">
        <f t="shared" si="17"/>
        <v>142.85714285714283</v>
      </c>
      <c r="D56" s="53">
        <f t="shared" si="18"/>
        <v>168.3673469387755</v>
      </c>
      <c r="E56" s="54"/>
      <c r="F56" s="53">
        <f>1270/9.8</f>
        <v>129.59183673469386</v>
      </c>
      <c r="G56" s="53">
        <f>1520/9.8</f>
        <v>155.1020408163265</v>
      </c>
      <c r="H56" s="53">
        <f>1770/9.8</f>
        <v>180.61224489795916</v>
      </c>
      <c r="I56" s="53">
        <f>1860/9.8</f>
        <v>189.79591836734693</v>
      </c>
      <c r="J56" s="53">
        <f>2060/9.8</f>
        <v>210.20408163265304</v>
      </c>
      <c r="K56" s="55">
        <f>1810/9.8</f>
        <v>184.6938775510204</v>
      </c>
    </row>
    <row r="57" spans="2:11" ht="13.5" hidden="1">
      <c r="B57" s="56">
        <v>1.9</v>
      </c>
      <c r="C57" s="57">
        <f t="shared" si="17"/>
        <v>142.85714285714283</v>
      </c>
      <c r="D57" s="57">
        <f t="shared" si="18"/>
        <v>168.3673469387755</v>
      </c>
      <c r="E57" s="60"/>
      <c r="F57" s="57">
        <f>1270/9.8</f>
        <v>129.59183673469386</v>
      </c>
      <c r="G57" s="57">
        <f>1470/9.8</f>
        <v>150</v>
      </c>
      <c r="H57" s="57">
        <f>1720/9.8</f>
        <v>175.51020408163265</v>
      </c>
      <c r="I57" s="57">
        <f>1810/9.8</f>
        <v>184.6938775510204</v>
      </c>
      <c r="J57" s="57">
        <f>2010/9.8</f>
        <v>205.1020408163265</v>
      </c>
      <c r="K57" s="59">
        <f>1770/9.8</f>
        <v>180.61224489795916</v>
      </c>
    </row>
    <row r="58" spans="2:11" ht="13.5" hidden="1">
      <c r="B58" s="52">
        <v>2</v>
      </c>
      <c r="C58" s="53">
        <f t="shared" si="17"/>
        <v>142.85714285714283</v>
      </c>
      <c r="D58" s="53">
        <f t="shared" si="18"/>
        <v>168.3673469387755</v>
      </c>
      <c r="E58" s="54"/>
      <c r="F58" s="53">
        <f>1270/9.8</f>
        <v>129.59183673469386</v>
      </c>
      <c r="G58" s="53">
        <f>1470/9.8</f>
        <v>150</v>
      </c>
      <c r="H58" s="53">
        <f>1720/9.8</f>
        <v>175.51020408163265</v>
      </c>
      <c r="I58" s="53">
        <f>1810/9.8</f>
        <v>184.6938775510204</v>
      </c>
      <c r="J58" s="53">
        <f>2010/9.8</f>
        <v>205.1020408163265</v>
      </c>
      <c r="K58" s="55">
        <f>1770/9.8</f>
        <v>180.61224489795916</v>
      </c>
    </row>
    <row r="59" spans="2:11" ht="13.5" hidden="1">
      <c r="B59" s="52">
        <v>2.3</v>
      </c>
      <c r="C59" s="53">
        <f>1320/9.8</f>
        <v>134.6938775510204</v>
      </c>
      <c r="D59" s="53">
        <f>1550/9.8</f>
        <v>158.16326530612244</v>
      </c>
      <c r="E59" s="54"/>
      <c r="F59" s="53">
        <f>1230/9.8</f>
        <v>125.51020408163265</v>
      </c>
      <c r="G59" s="53">
        <f>1420/9.8</f>
        <v>144.89795918367346</v>
      </c>
      <c r="H59" s="53">
        <f>1670/9.8</f>
        <v>170.40816326530611</v>
      </c>
      <c r="I59" s="53">
        <f>1770/9.8</f>
        <v>180.61224489795916</v>
      </c>
      <c r="J59" s="53">
        <f>1960/9.8</f>
        <v>199.99999999999997</v>
      </c>
      <c r="K59" s="55">
        <f>1720/9.8</f>
        <v>175.51020408163265</v>
      </c>
    </row>
    <row r="60" spans="2:11" ht="13.5" hidden="1">
      <c r="B60" s="52">
        <v>2.6</v>
      </c>
      <c r="C60" s="53">
        <f>1320/9.8</f>
        <v>134.6938775510204</v>
      </c>
      <c r="D60" s="53">
        <f>1550/9.8</f>
        <v>158.16326530612244</v>
      </c>
      <c r="E60" s="54"/>
      <c r="F60" s="53">
        <f>1230/9.8</f>
        <v>125.51020408163265</v>
      </c>
      <c r="G60" s="53">
        <f>1420/9.8</f>
        <v>144.89795918367346</v>
      </c>
      <c r="H60" s="53">
        <f>1670/9.8</f>
        <v>170.40816326530611</v>
      </c>
      <c r="I60" s="53">
        <f>1770/9.8</f>
        <v>180.61224489795916</v>
      </c>
      <c r="J60" s="53">
        <f>1960/9.8</f>
        <v>199.99999999999997</v>
      </c>
      <c r="K60" s="55">
        <f>1720/9.8</f>
        <v>175.51020408163265</v>
      </c>
    </row>
    <row r="61" spans="2:11" ht="13.5" hidden="1">
      <c r="B61" s="52">
        <v>2.9</v>
      </c>
      <c r="C61" s="53">
        <f>1230/9.8</f>
        <v>125.51020408163265</v>
      </c>
      <c r="D61" s="53">
        <f>1450/9.8</f>
        <v>147.95918367346937</v>
      </c>
      <c r="E61" s="54"/>
      <c r="F61" s="53">
        <f>1180/9.8</f>
        <v>120.40816326530611</v>
      </c>
      <c r="G61" s="53">
        <f>1370/9.8</f>
        <v>139.79591836734693</v>
      </c>
      <c r="H61" s="53">
        <f>1620/9.8</f>
        <v>165.30612244897958</v>
      </c>
      <c r="I61" s="53">
        <f>1720/9.8</f>
        <v>175.51020408163265</v>
      </c>
      <c r="J61" s="53">
        <f>1910/9.8</f>
        <v>194.89795918367346</v>
      </c>
      <c r="K61" s="55">
        <f>1720/9.8</f>
        <v>175.51020408163265</v>
      </c>
    </row>
    <row r="62" spans="2:11" ht="13.5" hidden="1">
      <c r="B62" s="52">
        <v>3.2</v>
      </c>
      <c r="C62" s="53">
        <f>1230/9.8</f>
        <v>125.51020408163265</v>
      </c>
      <c r="D62" s="53">
        <f>1450/9.8</f>
        <v>147.95918367346937</v>
      </c>
      <c r="E62" s="54"/>
      <c r="F62" s="53">
        <f>1180/9.8</f>
        <v>120.40816326530611</v>
      </c>
      <c r="G62" s="53">
        <f>1370/9.8</f>
        <v>139.79591836734693</v>
      </c>
      <c r="H62" s="53">
        <f>1570/9.8</f>
        <v>160.20408163265304</v>
      </c>
      <c r="I62" s="53">
        <f>1670/9.8</f>
        <v>170.40816326530611</v>
      </c>
      <c r="J62" s="53">
        <f>1860/9.8</f>
        <v>189.79591836734693</v>
      </c>
      <c r="K62" s="55">
        <f>1670/9.8</f>
        <v>170.40816326530611</v>
      </c>
    </row>
    <row r="63" spans="2:11" ht="13.5" hidden="1">
      <c r="B63" s="52">
        <v>3.5</v>
      </c>
      <c r="C63" s="53">
        <f>1230/9.8</f>
        <v>125.51020408163265</v>
      </c>
      <c r="D63" s="53">
        <f>1450/9.8</f>
        <v>147.95918367346937</v>
      </c>
      <c r="E63" s="54"/>
      <c r="F63" s="53">
        <f>1180/9.8</f>
        <v>120.40816326530611</v>
      </c>
      <c r="G63" s="53">
        <f>1370/9.8</f>
        <v>139.79591836734693</v>
      </c>
      <c r="H63" s="53">
        <f>1570/9.8</f>
        <v>160.20408163265304</v>
      </c>
      <c r="I63" s="53">
        <f>1670/9.8</f>
        <v>170.40816326530611</v>
      </c>
      <c r="J63" s="53">
        <f>1810/9.8</f>
        <v>184.6938775510204</v>
      </c>
      <c r="K63" s="55">
        <f>1670/9.8</f>
        <v>170.40816326530611</v>
      </c>
    </row>
    <row r="64" spans="2:11" ht="13.5" hidden="1">
      <c r="B64" s="52">
        <v>4</v>
      </c>
      <c r="C64" s="53">
        <f>1230/9.8</f>
        <v>125.51020408163265</v>
      </c>
      <c r="D64" s="53">
        <f>1450/9.8</f>
        <v>147.95918367346937</v>
      </c>
      <c r="E64" s="54"/>
      <c r="F64" s="53">
        <f>1180/9.8</f>
        <v>120.40816326530611</v>
      </c>
      <c r="G64" s="53">
        <f>1370/9.8</f>
        <v>139.79591836734693</v>
      </c>
      <c r="H64" s="53">
        <f>1570/9.8</f>
        <v>160.20408163265304</v>
      </c>
      <c r="I64" s="53">
        <f>1670/9.8</f>
        <v>170.40816326530611</v>
      </c>
      <c r="J64" s="53">
        <f>1810/9.8</f>
        <v>184.6938775510204</v>
      </c>
      <c r="K64" s="55">
        <f>1670/9.8</f>
        <v>170.40816326530611</v>
      </c>
    </row>
    <row r="65" spans="2:11" ht="13.5" hidden="1">
      <c r="B65" s="52">
        <v>4.5</v>
      </c>
      <c r="C65" s="53">
        <f>1100/9.8</f>
        <v>112.24489795918366</v>
      </c>
      <c r="D65" s="53">
        <f>1350/9.8</f>
        <v>137.75510204081633</v>
      </c>
      <c r="E65" s="54"/>
      <c r="F65" s="53">
        <f>1130/9.8</f>
        <v>115.30612244897958</v>
      </c>
      <c r="G65" s="53">
        <f>1320/9.8</f>
        <v>134.6938775510204</v>
      </c>
      <c r="H65" s="53">
        <f>1520/9.8</f>
        <v>155.1020408163265</v>
      </c>
      <c r="I65" s="53">
        <f>1620/9.8</f>
        <v>165.30612244897958</v>
      </c>
      <c r="J65" s="53">
        <f>1770/9.8</f>
        <v>180.61224489795916</v>
      </c>
      <c r="K65" s="55">
        <f>1620/9.8</f>
        <v>165.30612244897958</v>
      </c>
    </row>
    <row r="66" spans="2:11" ht="13.5" hidden="1">
      <c r="B66" s="52">
        <v>5</v>
      </c>
      <c r="C66" s="53">
        <f>1100/9.8</f>
        <v>112.24489795918366</v>
      </c>
      <c r="D66" s="53">
        <f>1350/9.8</f>
        <v>137.75510204081633</v>
      </c>
      <c r="E66" s="54"/>
      <c r="F66" s="53">
        <f>1130/9.8</f>
        <v>115.30612244897958</v>
      </c>
      <c r="G66" s="53">
        <f>1320/9.8</f>
        <v>134.6938775510204</v>
      </c>
      <c r="H66" s="53">
        <f>1520/9.8</f>
        <v>155.1020408163265</v>
      </c>
      <c r="I66" s="53">
        <f>1620/9.8</f>
        <v>165.30612244897958</v>
      </c>
      <c r="J66" s="53">
        <f>1770/9.8</f>
        <v>180.61224489795916</v>
      </c>
      <c r="K66" s="55">
        <f>1620/9.8</f>
        <v>165.30612244897958</v>
      </c>
    </row>
    <row r="67" spans="2:11" ht="13.5" hidden="1">
      <c r="B67" s="52">
        <v>5.5</v>
      </c>
      <c r="C67" s="53">
        <f>1100/9.8</f>
        <v>112.24489795918366</v>
      </c>
      <c r="D67" s="53">
        <f>1350/9.8</f>
        <v>137.75510204081633</v>
      </c>
      <c r="E67" s="54"/>
      <c r="F67" s="53">
        <f>1080/9.8</f>
        <v>110.20408163265306</v>
      </c>
      <c r="G67" s="53">
        <f>1270/9.8</f>
        <v>129.59183673469386</v>
      </c>
      <c r="H67" s="53">
        <f>1470/9.8</f>
        <v>150</v>
      </c>
      <c r="I67" s="53">
        <f>1570/9.8</f>
        <v>160.20408163265304</v>
      </c>
      <c r="J67" s="53">
        <f>1710/9.8</f>
        <v>174.48979591836732</v>
      </c>
      <c r="K67" s="55">
        <f>1570/9.8</f>
        <v>160.20408163265304</v>
      </c>
    </row>
    <row r="68" spans="2:11" ht="13.5" hidden="1">
      <c r="B68" s="52">
        <v>6</v>
      </c>
      <c r="C68" s="53">
        <f>1100/9.8</f>
        <v>112.24489795918366</v>
      </c>
      <c r="D68" s="53">
        <f>1350/9.8</f>
        <v>137.75510204081633</v>
      </c>
      <c r="E68" s="54"/>
      <c r="F68" s="53">
        <f>1030/9.8</f>
        <v>105.10204081632652</v>
      </c>
      <c r="G68" s="53">
        <f>1230/9.8</f>
        <v>125.51020408163265</v>
      </c>
      <c r="H68" s="53">
        <f>1420/9.8</f>
        <v>144.89795918367346</v>
      </c>
      <c r="I68" s="53">
        <f>1520/9.8</f>
        <v>155.1020408163265</v>
      </c>
      <c r="J68" s="53">
        <f>1670/9.8</f>
        <v>170.40816326530611</v>
      </c>
      <c r="K68" s="55">
        <f>1520/9.8</f>
        <v>155.1020408163265</v>
      </c>
    </row>
    <row r="69" spans="2:11" ht="13.5" hidden="1">
      <c r="B69" s="52">
        <v>6.5</v>
      </c>
      <c r="C69" s="53">
        <f>1000/9.8</f>
        <v>102.0408163265306</v>
      </c>
      <c r="D69" s="53">
        <f>1270/9.8</f>
        <v>129.59183673469386</v>
      </c>
      <c r="E69" s="54"/>
      <c r="F69" s="53">
        <f>1030/9.8</f>
        <v>105.10204081632652</v>
      </c>
      <c r="G69" s="53">
        <f>1230/9.8</f>
        <v>125.51020408163265</v>
      </c>
      <c r="H69" s="53">
        <f>1420/9.8</f>
        <v>144.89795918367346</v>
      </c>
      <c r="I69" s="53">
        <f>1520/9.8</f>
        <v>155.1020408163265</v>
      </c>
      <c r="J69" s="53">
        <f>1670/9.8</f>
        <v>170.40816326530611</v>
      </c>
      <c r="K69" s="55"/>
    </row>
    <row r="70" spans="2:11" ht="13.5" hidden="1">
      <c r="B70" s="52">
        <v>7</v>
      </c>
      <c r="C70" s="53">
        <f>1000/9.8</f>
        <v>102.0408163265306</v>
      </c>
      <c r="D70" s="53">
        <f>1270/9.8</f>
        <v>129.59183673469386</v>
      </c>
      <c r="E70" s="54"/>
      <c r="F70" s="53">
        <f>980/9.8</f>
        <v>99.99999999999999</v>
      </c>
      <c r="G70" s="53">
        <f>1180/9.8</f>
        <v>120.40816326530611</v>
      </c>
      <c r="H70" s="53">
        <f>1370/9.8</f>
        <v>139.79591836734693</v>
      </c>
      <c r="I70" s="53">
        <f>1470/9.8</f>
        <v>150</v>
      </c>
      <c r="J70" s="53">
        <f>1620/9.8</f>
        <v>165.30612244897958</v>
      </c>
      <c r="K70" s="55"/>
    </row>
    <row r="71" spans="2:11" ht="13.5" hidden="1">
      <c r="B71" s="52">
        <v>8</v>
      </c>
      <c r="C71" s="53">
        <f>1000/9.8</f>
        <v>102.0408163265306</v>
      </c>
      <c r="D71" s="53">
        <f>1270/9.8</f>
        <v>129.59183673469386</v>
      </c>
      <c r="E71" s="54"/>
      <c r="F71" s="53">
        <f>980/9.8</f>
        <v>99.99999999999999</v>
      </c>
      <c r="G71" s="53">
        <f>1180/9.8</f>
        <v>120.40816326530611</v>
      </c>
      <c r="H71" s="53">
        <f>1370/9.8</f>
        <v>139.79591836734693</v>
      </c>
      <c r="I71" s="53">
        <f>1470/9.8</f>
        <v>150</v>
      </c>
      <c r="J71" s="53"/>
      <c r="K71" s="55"/>
    </row>
    <row r="72" spans="2:11" ht="13.5" hidden="1">
      <c r="B72" s="52">
        <v>9</v>
      </c>
      <c r="C72" s="53"/>
      <c r="D72" s="53">
        <f>1130/9.8</f>
        <v>115.30612244897958</v>
      </c>
      <c r="E72" s="54"/>
      <c r="F72" s="53">
        <f>930/9.8</f>
        <v>94.89795918367346</v>
      </c>
      <c r="G72" s="53">
        <f>1470/9.8</f>
        <v>150</v>
      </c>
      <c r="H72" s="53">
        <f>1320/9.8</f>
        <v>134.6938775510204</v>
      </c>
      <c r="I72" s="53">
        <f>1420/9.8</f>
        <v>144.89795918367346</v>
      </c>
      <c r="J72" s="53"/>
      <c r="K72" s="55"/>
    </row>
    <row r="73" spans="2:11" ht="13.5" hidden="1">
      <c r="B73" s="52">
        <v>10</v>
      </c>
      <c r="C73" s="53"/>
      <c r="D73" s="53">
        <f>980/9.8</f>
        <v>99.99999999999999</v>
      </c>
      <c r="E73" s="54"/>
      <c r="F73" s="53">
        <f>930/9.8</f>
        <v>94.89795918367346</v>
      </c>
      <c r="G73" s="53">
        <f>1470/9.8</f>
        <v>150</v>
      </c>
      <c r="H73" s="53">
        <f>1320/9.8</f>
        <v>134.6938775510204</v>
      </c>
      <c r="I73" s="53">
        <f>1420/9.8</f>
        <v>144.89795918367346</v>
      </c>
      <c r="J73" s="53"/>
      <c r="K73" s="55"/>
    </row>
    <row r="74" spans="2:11" ht="13.5" hidden="1">
      <c r="B74" s="52">
        <v>11</v>
      </c>
      <c r="C74" s="53"/>
      <c r="D74" s="53">
        <f>880/9.8</f>
        <v>89.79591836734693</v>
      </c>
      <c r="E74" s="54"/>
      <c r="F74" s="53"/>
      <c r="G74" s="53">
        <f>1080/9.8</f>
        <v>110.20408163265306</v>
      </c>
      <c r="H74" s="53">
        <f>1270/9.8</f>
        <v>129.59183673469386</v>
      </c>
      <c r="I74" s="53"/>
      <c r="J74" s="53"/>
      <c r="K74" s="55"/>
    </row>
    <row r="75" spans="2:11" ht="13.5" hidden="1">
      <c r="B75" s="52">
        <v>12</v>
      </c>
      <c r="C75" s="53"/>
      <c r="D75" s="53"/>
      <c r="E75" s="54"/>
      <c r="F75" s="53"/>
      <c r="G75" s="53">
        <f>1080/9.8</f>
        <v>110.20408163265306</v>
      </c>
      <c r="H75" s="53">
        <f>1270/9.8</f>
        <v>129.59183673469386</v>
      </c>
      <c r="I75" s="53"/>
      <c r="J75" s="53"/>
      <c r="K75" s="55"/>
    </row>
    <row r="76" spans="2:11" ht="14.25" hidden="1" thickBot="1">
      <c r="B76" s="61">
        <v>13</v>
      </c>
      <c r="C76" s="62"/>
      <c r="D76" s="62"/>
      <c r="E76" s="63"/>
      <c r="F76" s="62"/>
      <c r="G76" s="62">
        <f>1030/9.8</f>
        <v>105.10204081632652</v>
      </c>
      <c r="H76" s="62">
        <f>1230/9.8</f>
        <v>125.51020408163265</v>
      </c>
      <c r="I76" s="62"/>
      <c r="J76" s="62"/>
      <c r="K76" s="64"/>
    </row>
  </sheetData>
  <sheetProtection password="CC6F" sheet="1" objects="1" scenarios="1"/>
  <dataValidations count="3">
    <dataValidation type="list" allowBlank="1" showInputMessage="1" showErrorMessage="1" sqref="B2:G2">
      <formula1>$C$24:$K$24</formula1>
    </dataValidation>
    <dataValidation type="list" allowBlank="1" showInputMessage="1" showErrorMessage="1" sqref="B3:G3">
      <formula1>$B$26:$B$71</formula1>
    </dataValidation>
    <dataValidation type="decimal" operator="greaterThanOrEqual" allowBlank="1" showInputMessage="1" showErrorMessage="1" prompt="線径の３倍以上に設定して下さい" error="線径の３倍以上に設定して下さい" sqref="B6:G6">
      <formula1>B3*3</formula1>
    </dataValidation>
  </dataValidation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 良宏</dc:creator>
  <cp:keywords/>
  <dc:description/>
  <cp:lastModifiedBy>大塚 良宏</cp:lastModifiedBy>
  <cp:lastPrinted>2001-04-26T09:16:00Z</cp:lastPrinted>
  <dcterms:created xsi:type="dcterms:W3CDTF">2001-04-11T06:16:09Z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