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65461" windowWidth="8280" windowHeight="9000" activeTab="0"/>
  </bookViews>
  <sheets>
    <sheet name="軸間距離設定" sheetId="1" r:id="rId1"/>
    <sheet name="圧縮コイルばね" sheetId="2" r:id="rId2"/>
    <sheet name="トーションコイルばね" sheetId="3" r:id="rId3"/>
  </sheets>
  <definedNames/>
  <calcPr fullCalcOnLoad="1"/>
</workbook>
</file>

<file path=xl/comments1.xml><?xml version="1.0" encoding="utf-8"?>
<comments xmlns="http://schemas.openxmlformats.org/spreadsheetml/2006/main">
  <authors>
    <author>大塚 良宏</author>
  </authors>
  <commentList>
    <comment ref="C23" authorId="0">
      <text>
        <r>
          <rPr>
            <b/>
            <sz val="9"/>
            <rFont val="ＭＳ Ｐゴシック"/>
            <family val="3"/>
          </rPr>
          <t>圧縮コイルばねのシートで計算して下さい</t>
        </r>
      </text>
    </comment>
    <comment ref="C24" authorId="0">
      <text>
        <r>
          <rPr>
            <b/>
            <sz val="9"/>
            <rFont val="ＭＳ Ｐゴシック"/>
            <family val="3"/>
          </rPr>
          <t>圧縮コイルばねのシートで設定して下さい</t>
        </r>
      </text>
    </comment>
    <comment ref="C52" authorId="0">
      <text>
        <r>
          <rPr>
            <b/>
            <sz val="9"/>
            <rFont val="ＭＳ Ｐゴシック"/>
            <family val="3"/>
          </rPr>
          <t>トーションコイルばねのシートで計算して下さい</t>
        </r>
      </text>
    </comment>
    <comment ref="C53" authorId="0">
      <text>
        <r>
          <rPr>
            <b/>
            <sz val="9"/>
            <rFont val="ＭＳ Ｐゴシック"/>
            <family val="3"/>
          </rPr>
          <t>トーションコイルばねのシートで設定して下さい</t>
        </r>
      </text>
    </comment>
  </commentList>
</comments>
</file>

<file path=xl/sharedStrings.xml><?xml version="1.0" encoding="utf-8"?>
<sst xmlns="http://schemas.openxmlformats.org/spreadsheetml/2006/main" count="132" uniqueCount="129">
  <si>
    <t>横弾性係数 Ｇ</t>
  </si>
  <si>
    <t>ばね定数 （ｋｇｆ／ｍｍ）</t>
  </si>
  <si>
    <t>材質</t>
  </si>
  <si>
    <t>線径 (mm)</t>
  </si>
  <si>
    <r>
      <t xml:space="preserve">材料の引っ張り強さ σ </t>
    </r>
    <r>
      <rPr>
        <vertAlign val="subscript"/>
        <sz val="11"/>
        <rFont val="ＭＳ Ｐゴシック"/>
        <family val="3"/>
      </rPr>
      <t>B</t>
    </r>
  </si>
  <si>
    <t>コイル平均径 (mm)</t>
  </si>
  <si>
    <t>有効巻数</t>
  </si>
  <si>
    <t>両端研磨</t>
  </si>
  <si>
    <t>密着高さ (mm)</t>
  </si>
  <si>
    <t>自由長さ (mm)</t>
  </si>
  <si>
    <r>
      <t>指定長さ Ｌ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(mm)</t>
    </r>
  </si>
  <si>
    <r>
      <t>指定長さ Ｌ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(mm)</t>
    </r>
  </si>
  <si>
    <r>
      <t>荷重 Ｐ</t>
    </r>
    <r>
      <rPr>
        <vertAlign val="subscript"/>
        <sz val="11"/>
        <rFont val="ＭＳ Ｐゴシック"/>
        <family val="3"/>
      </rPr>
      <t xml:space="preserve">１ </t>
    </r>
    <r>
      <rPr>
        <sz val="11"/>
        <rFont val="ＭＳ Ｐゴシック"/>
        <family val="3"/>
      </rPr>
      <t>(kgf)</t>
    </r>
  </si>
  <si>
    <r>
      <t>荷重 Ｐ</t>
    </r>
    <r>
      <rPr>
        <vertAlign val="subscript"/>
        <sz val="11"/>
        <rFont val="ＭＳ Ｐゴシック"/>
        <family val="3"/>
      </rPr>
      <t xml:space="preserve">２ </t>
    </r>
    <r>
      <rPr>
        <sz val="11"/>
        <rFont val="ＭＳ Ｐゴシック"/>
        <family val="3"/>
      </rPr>
      <t>(kgf)</t>
    </r>
  </si>
  <si>
    <r>
      <t>未修正応力 τ</t>
    </r>
    <r>
      <rPr>
        <vertAlign val="subscript"/>
        <sz val="11"/>
        <rFont val="ＭＳ Ｐゴシック"/>
        <family val="3"/>
      </rPr>
      <t>0</t>
    </r>
  </si>
  <si>
    <r>
      <t xml:space="preserve">修正応力 τ </t>
    </r>
    <r>
      <rPr>
        <vertAlign val="subscript"/>
        <sz val="11"/>
        <rFont val="ＭＳ Ｐゴシック"/>
        <family val="3"/>
      </rPr>
      <t>max</t>
    </r>
  </si>
  <si>
    <r>
      <t xml:space="preserve">τ </t>
    </r>
    <r>
      <rPr>
        <vertAlign val="subscript"/>
        <sz val="11"/>
        <rFont val="ＭＳ Ｐゴシック"/>
        <family val="3"/>
      </rPr>
      <t>max</t>
    </r>
    <r>
      <rPr>
        <sz val="11"/>
        <rFont val="ＭＳ Ｐゴシック"/>
        <family val="3"/>
      </rPr>
      <t xml:space="preserve">／σ </t>
    </r>
    <r>
      <rPr>
        <vertAlign val="subscript"/>
        <sz val="11"/>
        <rFont val="ＭＳ Ｐゴシック"/>
        <family val="3"/>
      </rPr>
      <t>B</t>
    </r>
  </si>
  <si>
    <t>γ</t>
  </si>
  <si>
    <t>SUS A</t>
  </si>
  <si>
    <t>SUS B</t>
  </si>
  <si>
    <t>SUS C</t>
  </si>
  <si>
    <t>SW-A</t>
  </si>
  <si>
    <t>SW-B</t>
  </si>
  <si>
    <t>SW-C</t>
  </si>
  <si>
    <t>SWP-A</t>
  </si>
  <si>
    <t>SWP-B</t>
  </si>
  <si>
    <t>SWP-V</t>
  </si>
  <si>
    <t>あり</t>
  </si>
  <si>
    <t>なし</t>
  </si>
  <si>
    <t>縦弾性係数</t>
  </si>
  <si>
    <t>SWP-B</t>
  </si>
  <si>
    <t>あり</t>
  </si>
  <si>
    <t>Ｇ</t>
  </si>
  <si>
    <r>
      <t>Ｌ</t>
    </r>
    <r>
      <rPr>
        <vertAlign val="subscript"/>
        <sz val="11"/>
        <rFont val="ＭＳ Ｐゴシック"/>
        <family val="3"/>
      </rPr>
      <t>Ｇ</t>
    </r>
  </si>
  <si>
    <r>
      <t>θ</t>
    </r>
    <r>
      <rPr>
        <vertAlign val="subscript"/>
        <sz val="11"/>
        <rFont val="ＭＳ Ｐゴシック"/>
        <family val="3"/>
      </rPr>
      <t>G</t>
    </r>
  </si>
  <si>
    <t>N</t>
  </si>
  <si>
    <t>回転軸から重心までの距離</t>
  </si>
  <si>
    <t>回転軸と重心との位相差</t>
  </si>
  <si>
    <t>θ</t>
  </si>
  <si>
    <r>
      <t>L</t>
    </r>
    <r>
      <rPr>
        <vertAlign val="subscript"/>
        <sz val="11"/>
        <rFont val="ＭＳ Ｐゴシック"/>
        <family val="3"/>
      </rPr>
      <t>SP</t>
    </r>
  </si>
  <si>
    <t>蓋の重量</t>
  </si>
  <si>
    <r>
      <t>D (Y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</si>
  <si>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A (X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</si>
  <si>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B (Y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</si>
  <si>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r>
      <t>C (X</t>
    </r>
    <r>
      <rPr>
        <vertAlign val="sub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</si>
  <si>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蓋、開閉装置の開閉角度</t>
  </si>
  <si>
    <r>
      <t>軸（A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）のＸ座標</t>
    </r>
  </si>
  <si>
    <r>
      <t>軸（A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>）のＹ座標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</si>
  <si>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）のＸ座標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</si>
  <si>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）のＹ座標</t>
    </r>
  </si>
  <si>
    <t>軸（Ｂ）のＸ座標</t>
  </si>
  <si>
    <t>軸（Ｂ）のＹ座標</t>
  </si>
  <si>
    <r>
      <t>E (X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</si>
  <si>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r>
      <t>F (Y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)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</si>
  <si>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）の角度</t>
    </r>
  </si>
  <si>
    <t>軸（B）の角度</t>
  </si>
  <si>
    <r>
      <t>θ</t>
    </r>
    <r>
      <rPr>
        <vertAlign val="subscript"/>
        <sz val="11"/>
        <rFont val="ＭＳ Ｐゴシック"/>
        <family val="3"/>
      </rPr>
      <t>B</t>
    </r>
  </si>
  <si>
    <r>
      <t>L</t>
    </r>
    <r>
      <rPr>
        <vertAlign val="subscript"/>
        <sz val="11"/>
        <rFont val="ＭＳ Ｐゴシック"/>
        <family val="3"/>
      </rPr>
      <t>per-A</t>
    </r>
  </si>
  <si>
    <r>
      <t>θ</t>
    </r>
    <r>
      <rPr>
        <vertAlign val="subscript"/>
        <sz val="11"/>
        <rFont val="ＭＳ Ｐゴシック"/>
        <family val="3"/>
      </rPr>
      <t>A3</t>
    </r>
  </si>
  <si>
    <r>
      <t>R</t>
    </r>
    <r>
      <rPr>
        <vertAlign val="subscript"/>
        <sz val="11"/>
        <rFont val="ＭＳ Ｐゴシック"/>
        <family val="3"/>
      </rPr>
      <t>A1B</t>
    </r>
  </si>
  <si>
    <r>
      <t>R</t>
    </r>
    <r>
      <rPr>
        <vertAlign val="subscript"/>
        <sz val="11"/>
        <rFont val="ＭＳ Ｐゴシック"/>
        <family val="3"/>
      </rPr>
      <t>A1A3</t>
    </r>
  </si>
  <si>
    <r>
      <t>θ</t>
    </r>
    <r>
      <rPr>
        <vertAlign val="subscript"/>
        <sz val="11"/>
        <rFont val="ＭＳ Ｐゴシック"/>
        <family val="3"/>
      </rPr>
      <t>A30</t>
    </r>
  </si>
  <si>
    <r>
      <t>角度θ</t>
    </r>
    <r>
      <rPr>
        <vertAlign val="subscript"/>
        <sz val="11"/>
        <rFont val="ＭＳ Ｐゴシック"/>
        <family val="3"/>
      </rPr>
      <t>A3</t>
    </r>
    <r>
      <rPr>
        <sz val="11"/>
        <rFont val="ＭＳ Ｐゴシック"/>
        <family val="3"/>
      </rPr>
      <t>での軸（A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）のＸ座標</t>
    </r>
  </si>
  <si>
    <r>
      <t>角度θ</t>
    </r>
    <r>
      <rPr>
        <vertAlign val="subscript"/>
        <sz val="11"/>
        <rFont val="ＭＳ Ｐゴシック"/>
        <family val="3"/>
      </rPr>
      <t>A3</t>
    </r>
    <r>
      <rPr>
        <sz val="11"/>
        <rFont val="ＭＳ Ｐゴシック"/>
        <family val="3"/>
      </rPr>
      <t>での軸（A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）のY座標</t>
    </r>
  </si>
  <si>
    <r>
      <t>角度θ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での軸（B）のＸ座標</t>
    </r>
  </si>
  <si>
    <r>
      <t>角度θ</t>
    </r>
    <r>
      <rPr>
        <vertAlign val="subscript"/>
        <sz val="11"/>
        <rFont val="ＭＳ Ｐゴシック"/>
        <family val="3"/>
      </rPr>
      <t>B</t>
    </r>
    <r>
      <rPr>
        <sz val="11"/>
        <rFont val="ＭＳ Ｐゴシック"/>
        <family val="3"/>
      </rPr>
      <t>での軸（B）のY座標</t>
    </r>
  </si>
  <si>
    <r>
      <t>軸（A</t>
    </r>
    <r>
      <rPr>
        <vertAlign val="sub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）の角度　（初期位置）</t>
    </r>
  </si>
  <si>
    <r>
      <t>軸（A</t>
    </r>
    <r>
      <rPr>
        <vertAlign val="subscript"/>
        <sz val="11"/>
        <rFont val="ＭＳ Ｐゴシック"/>
        <family val="3"/>
      </rPr>
      <t>1</t>
    </r>
    <r>
      <rPr>
        <sz val="11"/>
        <rFont val="ＭＳ Ｐゴシック"/>
        <family val="3"/>
      </rPr>
      <t>）の開閉装置のトルク特性</t>
    </r>
  </si>
  <si>
    <r>
      <t>L</t>
    </r>
    <r>
      <rPr>
        <vertAlign val="subscript"/>
        <sz val="11"/>
        <rFont val="ＭＳ Ｐゴシック"/>
        <family val="3"/>
      </rPr>
      <t>BA</t>
    </r>
  </si>
  <si>
    <r>
      <t>L</t>
    </r>
    <r>
      <rPr>
        <vertAlign val="subscript"/>
        <sz val="11"/>
        <rFont val="ＭＳ Ｐゴシック"/>
        <family val="3"/>
      </rPr>
      <t>BR</t>
    </r>
  </si>
  <si>
    <r>
      <t>指定角度 Θ</t>
    </r>
    <r>
      <rPr>
        <vertAlign val="subscript"/>
        <sz val="11"/>
        <rFont val="ＭＳ Ｐゴシック"/>
        <family val="3"/>
      </rPr>
      <t>２</t>
    </r>
  </si>
  <si>
    <t>材質</t>
  </si>
  <si>
    <t>線径</t>
  </si>
  <si>
    <t>縦弾性係数 E</t>
  </si>
  <si>
    <r>
      <t xml:space="preserve">材料の引っ張り強さ σ </t>
    </r>
    <r>
      <rPr>
        <vertAlign val="subscript"/>
        <sz val="11"/>
        <rFont val="ＭＳ Ｐゴシック"/>
        <family val="3"/>
      </rPr>
      <t>B</t>
    </r>
  </si>
  <si>
    <t>コイル平均径</t>
  </si>
  <si>
    <t>巻数</t>
  </si>
  <si>
    <t>バネ定数 (kgf-mm/deg)</t>
  </si>
  <si>
    <r>
      <t>指定角度 Θ</t>
    </r>
    <r>
      <rPr>
        <vertAlign val="subscript"/>
        <sz val="11"/>
        <rFont val="ＭＳ Ｐゴシック"/>
        <family val="3"/>
      </rPr>
      <t>１</t>
    </r>
  </si>
  <si>
    <t>巻幅 H</t>
  </si>
  <si>
    <r>
      <t xml:space="preserve">巻幅 H </t>
    </r>
    <r>
      <rPr>
        <vertAlign val="subscript"/>
        <sz val="11"/>
        <rFont val="ＭＳ Ｐゴシック"/>
        <family val="3"/>
      </rPr>
      <t>2</t>
    </r>
  </si>
  <si>
    <r>
      <t>トルク Ｔ</t>
    </r>
    <r>
      <rPr>
        <vertAlign val="subscript"/>
        <sz val="11"/>
        <rFont val="ＭＳ Ｐゴシック"/>
        <family val="3"/>
      </rPr>
      <t>１</t>
    </r>
    <r>
      <rPr>
        <sz val="11"/>
        <rFont val="ＭＳ Ｐゴシック"/>
        <family val="3"/>
      </rPr>
      <t xml:space="preserve"> (kgf-mm)</t>
    </r>
  </si>
  <si>
    <r>
      <t>トルク Ｔ</t>
    </r>
    <r>
      <rPr>
        <vertAlign val="subscript"/>
        <sz val="11"/>
        <rFont val="ＭＳ Ｐゴシック"/>
        <family val="3"/>
      </rPr>
      <t>２</t>
    </r>
    <r>
      <rPr>
        <sz val="11"/>
        <rFont val="ＭＳ Ｐゴシック"/>
        <family val="3"/>
      </rPr>
      <t xml:space="preserve"> (kgf-mm)</t>
    </r>
  </si>
  <si>
    <r>
      <t xml:space="preserve">曲げ応力 σ </t>
    </r>
    <r>
      <rPr>
        <vertAlign val="subscript"/>
        <sz val="11"/>
        <rFont val="ＭＳ Ｐゴシック"/>
        <family val="3"/>
      </rPr>
      <t>１</t>
    </r>
  </si>
  <si>
    <r>
      <t xml:space="preserve">曲げ応力 σ </t>
    </r>
    <r>
      <rPr>
        <vertAlign val="subscript"/>
        <sz val="11"/>
        <rFont val="ＭＳ Ｐゴシック"/>
        <family val="3"/>
      </rPr>
      <t>２</t>
    </r>
  </si>
  <si>
    <r>
      <t xml:space="preserve">最大曲げ応力 σ </t>
    </r>
    <r>
      <rPr>
        <vertAlign val="subscript"/>
        <sz val="11"/>
        <rFont val="ＭＳ Ｐゴシック"/>
        <family val="3"/>
      </rPr>
      <t>max</t>
    </r>
  </si>
  <si>
    <r>
      <t xml:space="preserve">最大応力係数 σ </t>
    </r>
    <r>
      <rPr>
        <vertAlign val="subscript"/>
        <sz val="11"/>
        <rFont val="ＭＳ Ｐゴシック"/>
        <family val="3"/>
      </rPr>
      <t xml:space="preserve">max </t>
    </r>
    <r>
      <rPr>
        <sz val="11"/>
        <rFont val="ＭＳ Ｐゴシック"/>
        <family val="3"/>
      </rPr>
      <t xml:space="preserve"> ／ σ </t>
    </r>
    <r>
      <rPr>
        <vertAlign val="subscript"/>
        <sz val="11"/>
        <rFont val="ＭＳ Ｐゴシック"/>
        <family val="3"/>
      </rPr>
      <t>B</t>
    </r>
  </si>
  <si>
    <t>γ</t>
  </si>
  <si>
    <t>最小内径</t>
  </si>
  <si>
    <t>SUS A</t>
  </si>
  <si>
    <t>SUS B</t>
  </si>
  <si>
    <t>SUS C</t>
  </si>
  <si>
    <t>SW-A</t>
  </si>
  <si>
    <t>SW-B</t>
  </si>
  <si>
    <t>SW-C</t>
  </si>
  <si>
    <t>SWP-A</t>
  </si>
  <si>
    <t>SWP-B</t>
  </si>
  <si>
    <t>SWP-V</t>
  </si>
  <si>
    <t>トーションコイルばねによるトルク</t>
  </si>
  <si>
    <t>トーションコイルばねの数量</t>
  </si>
  <si>
    <t>ブラケットの回転角度</t>
  </si>
  <si>
    <t>ＢＲ回転後の軸（Ａ３）のＸ座標</t>
  </si>
  <si>
    <t>ＢＲ回転後の軸（Ａ３）のＹ座標</t>
  </si>
  <si>
    <t>軸（Ａ３）-軸（Ｂ）の角度（ＢＲ固定）</t>
  </si>
  <si>
    <t>軸（Ａ３）-軸（Ｂ）の角度（ＢＲ回転後）</t>
  </si>
  <si>
    <r>
      <t>L</t>
    </r>
    <r>
      <rPr>
        <vertAlign val="subscript"/>
        <sz val="11"/>
        <rFont val="ＭＳ Ｐゴシック"/>
        <family val="3"/>
      </rPr>
      <t>A2A3</t>
    </r>
  </si>
  <si>
    <r>
      <t>T</t>
    </r>
    <r>
      <rPr>
        <vertAlign val="subscript"/>
        <sz val="11"/>
        <rFont val="ＭＳ Ｐゴシック"/>
        <family val="3"/>
      </rPr>
      <t>A1</t>
    </r>
  </si>
  <si>
    <t>軸（Ｂ）の開閉装置のトルク特性</t>
  </si>
  <si>
    <r>
      <t>θ</t>
    </r>
    <r>
      <rPr>
        <vertAlign val="subscript"/>
        <sz val="11"/>
        <rFont val="ＭＳ Ｐゴシック"/>
        <family val="3"/>
      </rPr>
      <t>A2A3A1</t>
    </r>
  </si>
  <si>
    <t>軸（Ａ１）-軸（Ａ３）の角度</t>
  </si>
  <si>
    <t>軸（Ａ２）-軸（Ａ３）の角度</t>
  </si>
  <si>
    <t>軸（Ａ２）-軸（Ｂ）の角度</t>
  </si>
  <si>
    <r>
      <t>θ</t>
    </r>
    <r>
      <rPr>
        <vertAlign val="subscript"/>
        <sz val="11"/>
        <rFont val="ＭＳ Ｐゴシック"/>
        <family val="3"/>
      </rPr>
      <t>A3A2B</t>
    </r>
  </si>
  <si>
    <r>
      <t>R</t>
    </r>
    <r>
      <rPr>
        <vertAlign val="subscript"/>
        <sz val="11"/>
        <rFont val="ＭＳ Ｐゴシック"/>
        <family val="3"/>
      </rPr>
      <t>A2B</t>
    </r>
  </si>
  <si>
    <r>
      <t>L</t>
    </r>
    <r>
      <rPr>
        <vertAlign val="subscript"/>
        <sz val="11"/>
        <rFont val="ＭＳ Ｐゴシック"/>
        <family val="3"/>
      </rPr>
      <t>per-B</t>
    </r>
  </si>
  <si>
    <t>圧縮コイルばねのばね定数</t>
  </si>
  <si>
    <t>圧縮コイルばねの自由長さ</t>
  </si>
  <si>
    <t>圧縮コイルばねの数</t>
  </si>
  <si>
    <t>トーションコイルばねのばね定数</t>
  </si>
  <si>
    <t>初期のねじり角度</t>
  </si>
  <si>
    <t>トーションコイルばね１本でのトルク</t>
  </si>
  <si>
    <t>軸（Ａ１）でのＡＤＦの自重モーメント</t>
  </si>
  <si>
    <t>軸（Ｂ）でのＡＤＦの自重モーメント</t>
  </si>
  <si>
    <r>
      <t>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（初期位置）</t>
    </r>
    <r>
      <rPr>
        <sz val="11"/>
        <rFont val="ＭＳ Ｐゴシック"/>
        <family val="3"/>
      </rPr>
      <t>のＹ座標</t>
    </r>
  </si>
  <si>
    <r>
      <t>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（初期位置）</t>
    </r>
    <r>
      <rPr>
        <sz val="11"/>
        <rFont val="ＭＳ Ｐゴシック"/>
        <family val="3"/>
      </rPr>
      <t>のＸ座標</t>
    </r>
  </si>
  <si>
    <t>軸（Ａ３）-軸（Ｂ）間の距離</t>
  </si>
  <si>
    <r>
      <t>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-軸（Ｂ）間の距離</t>
    </r>
  </si>
  <si>
    <r>
      <t>ＢＲ回転後のＬ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のＸ座標</t>
    </r>
  </si>
  <si>
    <r>
      <t>軸（Ｂ）-Ｌ</t>
    </r>
    <r>
      <rPr>
        <vertAlign val="subscript"/>
        <sz val="11"/>
        <rFont val="ＭＳ Ｐゴシック"/>
        <family val="3"/>
      </rPr>
      <t>Ｇ</t>
    </r>
    <r>
      <rPr>
        <sz val="11"/>
        <rFont val="ＭＳ Ｐゴシック"/>
        <family val="3"/>
      </rPr>
      <t>の角度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</si>
</sst>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E+00"/>
    <numFmt numFmtId="177" formatCode="0.0_ "/>
    <numFmt numFmtId="178" formatCode="0_ "/>
    <numFmt numFmtId="179" formatCode="0.00_ "/>
    <numFmt numFmtId="180" formatCode="[&lt;=999]000;000\-00"/>
    <numFmt numFmtId="181" formatCode="0.000_ "/>
    <numFmt numFmtId="182" formatCode="0.0%"/>
    <numFmt numFmtId="183" formatCode="0.E+00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b/>
      <sz val="9"/>
      <name val="ＭＳ Ｐゴシック"/>
      <family val="3"/>
    </font>
    <font>
      <sz val="14.75"/>
      <name val="ＭＳ Ｐゴシック"/>
      <family val="3"/>
    </font>
    <font>
      <sz val="9.5"/>
      <name val="ＭＳ Ｐゴシック"/>
      <family val="3"/>
    </font>
    <font>
      <b/>
      <sz val="8"/>
      <name val="ＭＳ Ｐゴシック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ck"/>
      <right style="double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/>
    </xf>
    <xf numFmtId="181" fontId="0" fillId="2" borderId="0" xfId="0" applyNumberFormat="1" applyFill="1" applyAlignment="1" applyProtection="1">
      <alignment/>
      <protection locked="0"/>
    </xf>
    <xf numFmtId="178" fontId="0" fillId="2" borderId="0" xfId="0" applyNumberFormat="1" applyFill="1" applyAlignment="1" applyProtection="1">
      <alignment/>
      <protection locked="0"/>
    </xf>
    <xf numFmtId="177" fontId="0" fillId="2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79" fontId="0" fillId="0" borderId="7" xfId="0" applyNumberFormat="1" applyBorder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9" fontId="0" fillId="3" borderId="7" xfId="0" applyNumberFormat="1" applyFill="1" applyBorder="1" applyAlignment="1" applyProtection="1">
      <alignment/>
      <protection/>
    </xf>
    <xf numFmtId="178" fontId="0" fillId="3" borderId="0" xfId="0" applyNumberForma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178" fontId="0" fillId="3" borderId="8" xfId="0" applyNumberForma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179" fontId="0" fillId="0" borderId="9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8" fontId="0" fillId="0" borderId="11" xfId="0" applyNumberFormat="1" applyBorder="1" applyAlignment="1" applyProtection="1">
      <alignment/>
      <protection/>
    </xf>
    <xf numFmtId="0" fontId="0" fillId="4" borderId="0" xfId="0" applyFill="1" applyAlignment="1" applyProtection="1">
      <alignment/>
      <protection locked="0"/>
    </xf>
    <xf numFmtId="11" fontId="0" fillId="4" borderId="0" xfId="0" applyNumberForma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/>
    </xf>
    <xf numFmtId="177" fontId="0" fillId="0" borderId="0" xfId="0" applyNumberFormat="1" applyFill="1" applyAlignment="1" applyProtection="1">
      <alignment/>
      <protection/>
    </xf>
    <xf numFmtId="11" fontId="0" fillId="0" borderId="0" xfId="0" applyNumberFormat="1" applyFill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11" fontId="0" fillId="4" borderId="0" xfId="0" applyNumberFormat="1" applyFill="1" applyAlignment="1" applyProtection="1">
      <alignment/>
      <protection/>
    </xf>
    <xf numFmtId="178" fontId="0" fillId="0" borderId="0" xfId="0" applyNumberFormat="1" applyFill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1" fontId="0" fillId="0" borderId="0" xfId="0" applyNumberFormat="1" applyFont="1" applyAlignment="1" applyProtection="1">
      <alignment/>
      <protection/>
    </xf>
    <xf numFmtId="11" fontId="0" fillId="5" borderId="0" xfId="0" applyNumberFormat="1" applyFill="1" applyAlignment="1" applyProtection="1">
      <alignment/>
      <protection/>
    </xf>
    <xf numFmtId="11" fontId="0" fillId="6" borderId="0" xfId="0" applyNumberFormat="1" applyFill="1" applyAlignment="1" applyProtection="1">
      <alignment/>
      <protection/>
    </xf>
    <xf numFmtId="11" fontId="0" fillId="7" borderId="0" xfId="0" applyNumberFormat="1" applyFill="1" applyAlignment="1" applyProtection="1">
      <alignment/>
      <protection/>
    </xf>
    <xf numFmtId="11" fontId="0" fillId="0" borderId="0" xfId="0" applyNumberForma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79" fontId="0" fillId="2" borderId="0" xfId="0" applyNumberFormat="1" applyFill="1" applyAlignment="1" applyProtection="1">
      <alignment/>
      <protection locked="0"/>
    </xf>
    <xf numFmtId="178" fontId="0" fillId="8" borderId="0" xfId="0" applyNumberFormat="1" applyFill="1" applyAlignment="1" applyProtection="1">
      <alignment/>
      <protection/>
    </xf>
    <xf numFmtId="11" fontId="0" fillId="8" borderId="0" xfId="0" applyNumberFormat="1" applyFill="1" applyAlignment="1" applyProtection="1">
      <alignment/>
      <protection/>
    </xf>
    <xf numFmtId="184" fontId="0" fillId="3" borderId="0" xfId="0" applyNumberFormat="1" applyFill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latin typeface="ＭＳ Ｐゴシック"/>
                <a:ea typeface="ＭＳ Ｐゴシック"/>
                <a:cs typeface="ＭＳ Ｐゴシック"/>
              </a:rPr>
              <a:t>【図１４】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4825"/>
          <c:w val="0.51875"/>
          <c:h val="0.78675"/>
        </c:manualLayout>
      </c:layout>
      <c:lineChart>
        <c:grouping val="standard"/>
        <c:varyColors val="0"/>
        <c:ser>
          <c:idx val="0"/>
          <c:order val="0"/>
          <c:tx>
            <c:strRef>
              <c:f>'軸間距離設定'!$A$36</c:f>
              <c:strCache>
                <c:ptCount val="1"/>
                <c:pt idx="0">
                  <c:v>軸（Ａ１）でのＡＤＦの自重モーメント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'軸間距離設定'!$C$27:$K$27</c:f>
              <c:numCache/>
            </c:numRef>
          </c:cat>
          <c:val>
            <c:numRef>
              <c:f>'軸間距離設定'!$C$36:$K$36</c:f>
              <c:numCache/>
            </c:numRef>
          </c:val>
          <c:smooth val="0"/>
        </c:ser>
        <c:ser>
          <c:idx val="1"/>
          <c:order val="1"/>
          <c:tx>
            <c:strRef>
              <c:f>'軸間距離設定'!$A$37</c:f>
              <c:strCache>
                <c:ptCount val="1"/>
                <c:pt idx="0">
                  <c:v>軸（Ｂ）でのＡＤＦの自重モーメント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'軸間距離設定'!$C$37:$K$37</c:f>
              <c:numCache/>
            </c:numRef>
          </c:val>
          <c:smooth val="0"/>
        </c:ser>
        <c:ser>
          <c:idx val="2"/>
          <c:order val="2"/>
          <c:tx>
            <c:strRef>
              <c:f>'軸間距離設定'!$A$45</c:f>
              <c:strCache>
                <c:ptCount val="1"/>
                <c:pt idx="0">
                  <c:v>軸（A1）の開閉装置のトルク特性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'軸間距離設定'!$C$45:$K$45</c:f>
              <c:numCache/>
            </c:numRef>
          </c:val>
          <c:smooth val="0"/>
        </c:ser>
        <c:ser>
          <c:idx val="3"/>
          <c:order val="3"/>
          <c:tx>
            <c:strRef>
              <c:f>'軸間距離設定'!$A$57</c:f>
              <c:strCache>
                <c:ptCount val="1"/>
                <c:pt idx="0">
                  <c:v>軸（Ｂ）の開閉装置のトルク特性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'軸間距離設定'!$C$57:$K$57</c:f>
              <c:numCache/>
            </c:numRef>
          </c:val>
          <c:smooth val="0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角度(deg)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トルク(kgf-mm)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52834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4"/>
          <c:y val="0.3405"/>
          <c:w val="0.42125"/>
          <c:h val="0.268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58</xdr:row>
      <xdr:rowOff>114300</xdr:rowOff>
    </xdr:from>
    <xdr:to>
      <xdr:col>7</xdr:col>
      <xdr:colOff>685800</xdr:colOff>
      <xdr:row>79</xdr:row>
      <xdr:rowOff>76200</xdr:rowOff>
    </xdr:to>
    <xdr:graphicFrame>
      <xdr:nvGraphicFramePr>
        <xdr:cNvPr id="1" name="Chart 16"/>
        <xdr:cNvGraphicFramePr/>
      </xdr:nvGraphicFramePr>
      <xdr:xfrm>
        <a:off x="1019175" y="10782300"/>
        <a:ext cx="63246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53">
      <selection activeCell="A58" sqref="A58"/>
    </sheetView>
  </sheetViews>
  <sheetFormatPr defaultColWidth="9.00390625" defaultRowHeight="13.5"/>
  <cols>
    <col min="1" max="1" width="30.625" style="8" customWidth="1"/>
    <col min="2" max="2" width="8.625" style="8" customWidth="1"/>
    <col min="3" max="20" width="9.625" style="8" customWidth="1"/>
    <col min="21" max="16384" width="9.00390625" style="8" customWidth="1"/>
  </cols>
  <sheetData>
    <row r="1" spans="1:3" ht="15" customHeight="1">
      <c r="A1" s="8" t="s">
        <v>40</v>
      </c>
      <c r="B1" s="8" t="s">
        <v>32</v>
      </c>
      <c r="C1" s="3">
        <v>5</v>
      </c>
    </row>
    <row r="2" spans="1:3" ht="15" customHeight="1">
      <c r="A2" s="8" t="s">
        <v>36</v>
      </c>
      <c r="B2" s="8" t="s">
        <v>33</v>
      </c>
      <c r="C2" s="4">
        <v>200</v>
      </c>
    </row>
    <row r="3" spans="1:3" ht="15" customHeight="1">
      <c r="A3" s="8" t="s">
        <v>37</v>
      </c>
      <c r="B3" s="8" t="s">
        <v>34</v>
      </c>
      <c r="C3" s="4">
        <v>5</v>
      </c>
    </row>
    <row r="4" spans="1:3" ht="15" customHeight="1" hidden="1">
      <c r="A4" s="8" t="s">
        <v>124</v>
      </c>
      <c r="C4" s="43">
        <f>C2*COS((C3+C26)*PI()/180)</f>
        <v>141.4213562373095</v>
      </c>
    </row>
    <row r="5" spans="1:3" ht="15" customHeight="1" hidden="1">
      <c r="A5" s="8" t="s">
        <v>123</v>
      </c>
      <c r="C5" s="43">
        <f>C2*SIN((C3+C26)*PI()/180)</f>
        <v>141.42135623730948</v>
      </c>
    </row>
    <row r="6" spans="1:21" s="9" customFormat="1" ht="15" customHeight="1">
      <c r="A6" s="9" t="s">
        <v>46</v>
      </c>
      <c r="B6" s="9" t="s">
        <v>42</v>
      </c>
      <c r="C6" s="5">
        <v>16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9" customFormat="1" ht="15" customHeight="1">
      <c r="A7" s="9" t="s">
        <v>47</v>
      </c>
      <c r="B7" s="9" t="s">
        <v>43</v>
      </c>
      <c r="C7" s="5">
        <v>-11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s="9" customFormat="1" ht="15" customHeight="1">
      <c r="A8" s="9" t="s">
        <v>48</v>
      </c>
      <c r="B8" s="9" t="s">
        <v>44</v>
      </c>
      <c r="C8" s="5">
        <v>100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9" customFormat="1" ht="15" customHeight="1">
      <c r="A9" s="9" t="s">
        <v>49</v>
      </c>
      <c r="B9" s="9" t="s">
        <v>41</v>
      </c>
      <c r="C9" s="5">
        <v>-1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</row>
    <row r="10" spans="1:21" s="9" customFormat="1" ht="15" customHeight="1">
      <c r="A10" s="9" t="s">
        <v>50</v>
      </c>
      <c r="B10" s="9" t="s">
        <v>52</v>
      </c>
      <c r="C10" s="5">
        <v>105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s="9" customFormat="1" ht="15" customHeight="1">
      <c r="A11" s="9" t="s">
        <v>51</v>
      </c>
      <c r="B11" s="9" t="s">
        <v>53</v>
      </c>
      <c r="C11" s="5">
        <v>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2:21" ht="15" customHeight="1">
      <c r="B12" s="8" t="s">
        <v>60</v>
      </c>
      <c r="C12" s="43">
        <f>SQRT((POWER($C$8,2))+POWER($C$9,2))</f>
        <v>100.00499987500625</v>
      </c>
      <c r="F12" s="2"/>
      <c r="S12" s="34"/>
      <c r="T12" s="34"/>
      <c r="U12" s="34"/>
    </row>
    <row r="13" spans="1:21" ht="15" customHeight="1">
      <c r="A13" s="8" t="s">
        <v>66</v>
      </c>
      <c r="B13" s="8" t="s">
        <v>61</v>
      </c>
      <c r="C13" s="43">
        <f>(ATAN($C$9/$C$8))*180/PI()</f>
        <v>-0.5729386976834859</v>
      </c>
      <c r="S13" s="34"/>
      <c r="T13" s="34"/>
      <c r="U13" s="34"/>
    </row>
    <row r="14" spans="1:3" ht="15" customHeight="1">
      <c r="A14" s="8" t="s">
        <v>54</v>
      </c>
      <c r="B14" s="7" t="s">
        <v>58</v>
      </c>
      <c r="C14" s="43">
        <f>$C$13+C26</f>
        <v>39.42706130231652</v>
      </c>
    </row>
    <row r="15" spans="1:3" ht="15" customHeight="1">
      <c r="A15" s="8" t="s">
        <v>62</v>
      </c>
      <c r="B15" s="7"/>
      <c r="C15" s="43">
        <f>$C$12*COS(C14*PI()/180)</f>
        <v>77.24723192158434</v>
      </c>
    </row>
    <row r="16" spans="1:3" ht="15" customHeight="1">
      <c r="A16" s="8" t="s">
        <v>63</v>
      </c>
      <c r="B16" s="7"/>
      <c r="C16" s="43">
        <f>$C$12*SIN(C14*PI()/180)</f>
        <v>63.51271652553496</v>
      </c>
    </row>
    <row r="17" spans="2:3" ht="15" customHeight="1">
      <c r="B17" s="7" t="s">
        <v>59</v>
      </c>
      <c r="C17" s="43">
        <f>SQRT(POWER($C$10,2)+POWER($C$11,2))</f>
        <v>105.11898020814318</v>
      </c>
    </row>
    <row r="18" spans="1:3" ht="15" customHeight="1">
      <c r="A18" s="8" t="s">
        <v>55</v>
      </c>
      <c r="B18" s="35" t="s">
        <v>56</v>
      </c>
      <c r="C18" s="43">
        <f>(ATAN($C$11/$C$10))*180/PI()+C26</f>
        <v>42.72631099390627</v>
      </c>
    </row>
    <row r="19" spans="1:3" ht="15" customHeight="1">
      <c r="A19" s="8" t="s">
        <v>64</v>
      </c>
      <c r="B19" s="35"/>
      <c r="C19" s="43">
        <f>$C$17*COS(C18*PI()/180)</f>
        <v>77.22072847906</v>
      </c>
    </row>
    <row r="20" spans="1:3" ht="15" customHeight="1">
      <c r="A20" s="8" t="s">
        <v>65</v>
      </c>
      <c r="B20" s="35"/>
      <c r="C20" s="43">
        <f>$C$17*SIN(C18*PI()/180)</f>
        <v>71.32292123268152</v>
      </c>
    </row>
    <row r="21" spans="2:3" s="9" customFormat="1" ht="15" customHeight="1">
      <c r="B21" s="7" t="s">
        <v>69</v>
      </c>
      <c r="C21" s="5">
        <v>15</v>
      </c>
    </row>
    <row r="22" spans="2:3" s="9" customFormat="1" ht="15" customHeight="1">
      <c r="B22" s="7" t="s">
        <v>68</v>
      </c>
      <c r="C22" s="5">
        <v>10</v>
      </c>
    </row>
    <row r="23" spans="1:3" ht="15" customHeight="1">
      <c r="A23" s="8" t="s">
        <v>115</v>
      </c>
      <c r="B23" s="7"/>
      <c r="C23" s="47">
        <f>'圧縮コイルばね'!$B$8</f>
        <v>0.6141530495500982</v>
      </c>
    </row>
    <row r="24" spans="1:3" ht="15" customHeight="1">
      <c r="A24" s="8" t="s">
        <v>116</v>
      </c>
      <c r="B24" s="7"/>
      <c r="C24" s="47">
        <f>'圧縮コイルばね'!$B$11</f>
        <v>87</v>
      </c>
    </row>
    <row r="25" spans="1:3" ht="15" customHeight="1">
      <c r="A25" s="8" t="s">
        <v>117</v>
      </c>
      <c r="B25" s="8" t="s">
        <v>35</v>
      </c>
      <c r="C25" s="4">
        <v>4</v>
      </c>
    </row>
    <row r="26" spans="1:21" s="7" customFormat="1" ht="15" customHeight="1">
      <c r="A26" s="7" t="s">
        <v>45</v>
      </c>
      <c r="B26" s="7" t="s">
        <v>38</v>
      </c>
      <c r="C26" s="4">
        <v>40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11" s="38" customFormat="1" ht="15" customHeight="1">
      <c r="A27" s="38" t="s">
        <v>100</v>
      </c>
      <c r="C27" s="48">
        <v>0</v>
      </c>
      <c r="D27" s="48">
        <v>5</v>
      </c>
      <c r="E27" s="48">
        <v>10</v>
      </c>
      <c r="F27" s="48">
        <v>15</v>
      </c>
      <c r="G27" s="48">
        <v>20</v>
      </c>
      <c r="H27" s="48">
        <v>25</v>
      </c>
      <c r="I27" s="48">
        <v>30</v>
      </c>
      <c r="J27" s="48">
        <v>35</v>
      </c>
      <c r="K27" s="48">
        <v>40</v>
      </c>
    </row>
    <row r="28" spans="1:3" s="38" customFormat="1" ht="15" customHeight="1">
      <c r="A28" s="38" t="s">
        <v>125</v>
      </c>
      <c r="C28" s="8">
        <f>SQRT(POWER((C15-C19),2)+POWER((C16-C20),2))</f>
        <v>7.81024967590665</v>
      </c>
    </row>
    <row r="29" spans="1:3" s="38" customFormat="1" ht="15" customHeight="1">
      <c r="A29" s="38" t="s">
        <v>103</v>
      </c>
      <c r="C29" s="8">
        <f>(ATAN((C15-C19)/(C16-C20)))*180/PI()</f>
        <v>-0.19442890773479465</v>
      </c>
    </row>
    <row r="30" spans="1:11" s="38" customFormat="1" ht="15" customHeight="1">
      <c r="A30" s="38" t="s">
        <v>104</v>
      </c>
      <c r="C30" s="8">
        <f>$C$29+C27</f>
        <v>-0.19442890773479465</v>
      </c>
      <c r="D30" s="8">
        <f aca="true" t="shared" si="0" ref="D30:K30">$C$29+D27</f>
        <v>4.805571092265206</v>
      </c>
      <c r="E30" s="8">
        <f t="shared" si="0"/>
        <v>9.805571092265206</v>
      </c>
      <c r="F30" s="8">
        <f t="shared" si="0"/>
        <v>14.805571092265206</v>
      </c>
      <c r="G30" s="8">
        <f t="shared" si="0"/>
        <v>19.805571092265204</v>
      </c>
      <c r="H30" s="8">
        <f t="shared" si="0"/>
        <v>24.805571092265204</v>
      </c>
      <c r="I30" s="8">
        <f t="shared" si="0"/>
        <v>29.805571092265204</v>
      </c>
      <c r="J30" s="8">
        <f t="shared" si="0"/>
        <v>34.805571092265204</v>
      </c>
      <c r="K30" s="8">
        <f t="shared" si="0"/>
        <v>39.805571092265204</v>
      </c>
    </row>
    <row r="31" spans="1:11" ht="15" customHeight="1">
      <c r="A31" s="8" t="s">
        <v>101</v>
      </c>
      <c r="C31" s="8">
        <f aca="true" t="shared" si="1" ref="C31:K31">$C$19-$C$28*SIN(C30*PI()/180)</f>
        <v>77.24723192158434</v>
      </c>
      <c r="D31" s="8">
        <f t="shared" si="1"/>
        <v>76.56642687572132</v>
      </c>
      <c r="E31" s="8">
        <f t="shared" si="1"/>
        <v>75.8906014601378</v>
      </c>
      <c r="F31" s="8">
        <f t="shared" si="1"/>
        <v>75.22489911432095</v>
      </c>
      <c r="G31" s="8">
        <f t="shared" si="1"/>
        <v>74.57438623508448</v>
      </c>
      <c r="H31" s="8">
        <f t="shared" si="1"/>
        <v>73.94401361822979</v>
      </c>
      <c r="I31" s="8">
        <f t="shared" si="1"/>
        <v>73.33857878000055</v>
      </c>
      <c r="J31" s="8">
        <f t="shared" si="1"/>
        <v>72.76268944508722</v>
      </c>
      <c r="K31" s="8">
        <f t="shared" si="1"/>
        <v>72.22072847906</v>
      </c>
    </row>
    <row r="32" spans="1:11" ht="15" customHeight="1">
      <c r="A32" s="8" t="s">
        <v>102</v>
      </c>
      <c r="C32" s="8">
        <f aca="true" t="shared" si="2" ref="C32:K32">$C$20-$C$28*COS(C30*PI()/180)</f>
        <v>63.51271652553496</v>
      </c>
      <c r="D32" s="8">
        <f t="shared" si="2"/>
        <v>63.54012678519234</v>
      </c>
      <c r="E32" s="8">
        <f t="shared" si="2"/>
        <v>63.62676880997489</v>
      </c>
      <c r="F32" s="8">
        <f t="shared" si="2"/>
        <v>63.77198320175813</v>
      </c>
      <c r="G32" s="8">
        <f t="shared" si="2"/>
        <v>63.97466479133773</v>
      </c>
      <c r="H32" s="8">
        <f t="shared" si="2"/>
        <v>64.2332710494345</v>
      </c>
      <c r="I32" s="8">
        <f t="shared" si="2"/>
        <v>64.54583382627362</v>
      </c>
      <c r="J32" s="8">
        <f t="shared" si="2"/>
        <v>64.90997433039276</v>
      </c>
      <c r="K32" s="8">
        <f t="shared" si="2"/>
        <v>65.32292123268152</v>
      </c>
    </row>
    <row r="33" spans="1:3" ht="15" customHeight="1">
      <c r="A33" s="8" t="s">
        <v>126</v>
      </c>
      <c r="C33" s="8">
        <f>SQRT(POWER((C4-C19),2)+POWER((C5-C20),2))</f>
        <v>95.05530597842167</v>
      </c>
    </row>
    <row r="34" spans="1:3" ht="15" customHeight="1">
      <c r="A34" s="8" t="s">
        <v>128</v>
      </c>
      <c r="C34" s="8">
        <f>(ATAN((C5-C20)/(C4-C19)))*180/PI()</f>
        <v>47.514555753455454</v>
      </c>
    </row>
    <row r="35" spans="1:11" ht="15" customHeight="1">
      <c r="A35" s="8" t="s">
        <v>127</v>
      </c>
      <c r="C35" s="8">
        <f>$C$19+$C$33*COS(($C$34-C27)*PI()/180)</f>
        <v>141.4213562373095</v>
      </c>
      <c r="D35" s="8">
        <f aca="true" t="shared" si="3" ref="D35:K35">$C$19+$C$33*COS(($C$34-D27)*PI()/180)</f>
        <v>147.2865346342667</v>
      </c>
      <c r="E35" s="8">
        <f t="shared" si="3"/>
        <v>152.6184699394923</v>
      </c>
      <c r="F35" s="8">
        <f t="shared" si="3"/>
        <v>157.376582905803</v>
      </c>
      <c r="G35" s="8">
        <f t="shared" si="3"/>
        <v>161.52466142049795</v>
      </c>
      <c r="H35" s="8">
        <f t="shared" si="3"/>
        <v>165.03113610140213</v>
      </c>
      <c r="I35" s="8">
        <f t="shared" si="3"/>
        <v>167.86932055892646</v>
      </c>
      <c r="J35" s="8">
        <f t="shared" si="3"/>
        <v>170.0176144956066</v>
      </c>
      <c r="K35" s="8">
        <f t="shared" si="3"/>
        <v>171.45966809740906</v>
      </c>
    </row>
    <row r="36" spans="1:11" ht="15" customHeight="1">
      <c r="A36" s="8" t="s">
        <v>121</v>
      </c>
      <c r="B36" s="39"/>
      <c r="C36" s="40">
        <f>$C$1*C35</f>
        <v>707.1067811865476</v>
      </c>
      <c r="D36" s="40">
        <f aca="true" t="shared" si="4" ref="D36:K36">$C$1*D35</f>
        <v>736.4326731713335</v>
      </c>
      <c r="E36" s="40">
        <f t="shared" si="4"/>
        <v>763.0923496974615</v>
      </c>
      <c r="F36" s="40">
        <f t="shared" si="4"/>
        <v>786.8829145290149</v>
      </c>
      <c r="G36" s="40">
        <f t="shared" si="4"/>
        <v>807.6233071024898</v>
      </c>
      <c r="H36" s="40">
        <f t="shared" si="4"/>
        <v>825.1556805070106</v>
      </c>
      <c r="I36" s="40">
        <f t="shared" si="4"/>
        <v>839.3466027946323</v>
      </c>
      <c r="J36" s="40">
        <f t="shared" si="4"/>
        <v>850.088072478033</v>
      </c>
      <c r="K36" s="40">
        <f t="shared" si="4"/>
        <v>857.2983404870454</v>
      </c>
    </row>
    <row r="37" spans="1:11" ht="15" customHeight="1">
      <c r="A37" s="8" t="s">
        <v>122</v>
      </c>
      <c r="B37" s="39"/>
      <c r="C37" s="36">
        <f>$C$1*$C$33*COS(($C$34-C27)*PI()/180)</f>
        <v>321.0031387912475</v>
      </c>
      <c r="D37" s="36">
        <f aca="true" t="shared" si="5" ref="D37:K37">$C$1*$C$33*COS(($C$34-D27)*PI()/180)</f>
        <v>350.3290307760335</v>
      </c>
      <c r="E37" s="36">
        <f t="shared" si="5"/>
        <v>376.98870730216146</v>
      </c>
      <c r="F37" s="36">
        <f t="shared" si="5"/>
        <v>400.77927213371487</v>
      </c>
      <c r="G37" s="36">
        <f t="shared" si="5"/>
        <v>421.51966470718975</v>
      </c>
      <c r="H37" s="36">
        <f>$C$1*$C$33*COS(($C$34-H27)*PI()/180)</f>
        <v>439.0520381117105</v>
      </c>
      <c r="I37" s="36">
        <f t="shared" si="5"/>
        <v>453.2429603993322</v>
      </c>
      <c r="J37" s="36">
        <f t="shared" si="5"/>
        <v>463.984430082733</v>
      </c>
      <c r="K37" s="36">
        <f t="shared" si="5"/>
        <v>471.1946980917454</v>
      </c>
    </row>
    <row r="38" spans="1:11" ht="15" customHeight="1">
      <c r="A38" s="8" t="s">
        <v>109</v>
      </c>
      <c r="C38" s="8">
        <f aca="true" t="shared" si="6" ref="C38:K38">(ATAN(C32/C31))*180/PI()</f>
        <v>39.42706130231652</v>
      </c>
      <c r="D38" s="8">
        <f t="shared" si="6"/>
        <v>39.68823875183589</v>
      </c>
      <c r="E38" s="8">
        <f t="shared" si="6"/>
        <v>39.976507771243114</v>
      </c>
      <c r="F38" s="8">
        <f t="shared" si="6"/>
        <v>40.28964456112309</v>
      </c>
      <c r="G38" s="8">
        <f t="shared" si="6"/>
        <v>40.625097731260084</v>
      </c>
      <c r="H38" s="8">
        <f t="shared" si="6"/>
        <v>40.980010082313505</v>
      </c>
      <c r="I38" s="8">
        <f t="shared" si="6"/>
        <v>41.35124849939708</v>
      </c>
      <c r="J38" s="8">
        <f t="shared" si="6"/>
        <v>41.73544164241111</v>
      </c>
      <c r="K38" s="8">
        <f t="shared" si="6"/>
        <v>42.129024723488364</v>
      </c>
    </row>
    <row r="39" spans="2:11" ht="15" customHeight="1">
      <c r="B39" s="7" t="s">
        <v>108</v>
      </c>
      <c r="C39" s="8">
        <f aca="true" t="shared" si="7" ref="C39:K39">(ATAN(ABS((C32-$C$7)/(C31-$C$6))))*180/PI()-C38</f>
        <v>11.153753219002823</v>
      </c>
      <c r="D39" s="8">
        <f t="shared" si="7"/>
        <v>11.216710676623123</v>
      </c>
      <c r="E39" s="8">
        <f t="shared" si="7"/>
        <v>11.27522599612125</v>
      </c>
      <c r="F39" s="8">
        <f t="shared" si="7"/>
        <v>11.32854713493716</v>
      </c>
      <c r="G39" s="8">
        <f t="shared" si="7"/>
        <v>11.37596606821753</v>
      </c>
      <c r="H39" s="8">
        <f t="shared" si="7"/>
        <v>11.416837114376563</v>
      </c>
      <c r="I39" s="8">
        <f t="shared" si="7"/>
        <v>11.450594561292135</v>
      </c>
      <c r="J39" s="8">
        <f t="shared" si="7"/>
        <v>11.476768703579992</v>
      </c>
      <c r="K39" s="8">
        <f t="shared" si="7"/>
        <v>11.49499943151185</v>
      </c>
    </row>
    <row r="40" spans="2:11" ht="15" customHeight="1">
      <c r="B40" s="7" t="s">
        <v>60</v>
      </c>
      <c r="C40" s="8">
        <f>SQRT(POWER(C31,2)+(POWER(C32,2)))</f>
        <v>100.00499987500626</v>
      </c>
      <c r="D40" s="8">
        <f>SQRT(POWER(D31,2)+(POWER(D32,2)))</f>
        <v>99.49756497720684</v>
      </c>
      <c r="E40" s="8">
        <f aca="true" t="shared" si="8" ref="E40:K40">SQRT(POWER(E31,2)+(POWER(E32,2)))</f>
        <v>99.03408049343147</v>
      </c>
      <c r="F40" s="8">
        <f t="shared" si="8"/>
        <v>98.6187167237796</v>
      </c>
      <c r="G40" s="8">
        <f t="shared" si="8"/>
        <v>98.25526356131556</v>
      </c>
      <c r="H40" s="8">
        <f t="shared" si="8"/>
        <v>97.94707887263955</v>
      </c>
      <c r="I40" s="8">
        <f t="shared" si="8"/>
        <v>97.69704090605444</v>
      </c>
      <c r="J40" s="8">
        <f t="shared" si="8"/>
        <v>97.50750608468279</v>
      </c>
      <c r="K40" s="8">
        <f t="shared" si="8"/>
        <v>97.38027346653543</v>
      </c>
    </row>
    <row r="41" spans="2:11" ht="15" customHeight="1">
      <c r="B41" s="7" t="s">
        <v>57</v>
      </c>
      <c r="C41" s="8">
        <f>$C$40*SIN(C39*PI()/180)</f>
        <v>19.345217353015276</v>
      </c>
      <c r="D41" s="8">
        <f aca="true" t="shared" si="9" ref="D41:K41">$C$40*SIN(D39*PI()/180)</f>
        <v>19.453017051176023</v>
      </c>
      <c r="E41" s="8">
        <f t="shared" si="9"/>
        <v>19.553189585156435</v>
      </c>
      <c r="F41" s="8">
        <f t="shared" si="9"/>
        <v>19.644452430575367</v>
      </c>
      <c r="G41" s="8">
        <f t="shared" si="9"/>
        <v>19.72559894945789</v>
      </c>
      <c r="H41" s="8">
        <f t="shared" si="9"/>
        <v>19.795529437199594</v>
      </c>
      <c r="I41" s="8">
        <f t="shared" si="9"/>
        <v>19.853280940284744</v>
      </c>
      <c r="J41" s="8">
        <f t="shared" si="9"/>
        <v>19.898054349077245</v>
      </c>
      <c r="K41" s="8">
        <f t="shared" si="9"/>
        <v>19.9292373243985</v>
      </c>
    </row>
    <row r="42" spans="2:11" ht="15" customHeight="1">
      <c r="B42" s="7" t="s">
        <v>105</v>
      </c>
      <c r="C42" s="8">
        <f aca="true" t="shared" si="10" ref="C42:K42">SQRT((POWER((C31)-($C$6),2))+(POWER((C32)-($C$7),2)))</f>
        <v>96.45397006899752</v>
      </c>
      <c r="D42" s="8">
        <f t="shared" si="10"/>
        <v>96.0443781053563</v>
      </c>
      <c r="E42" s="8">
        <f t="shared" si="10"/>
        <v>95.68719227918908</v>
      </c>
      <c r="F42" s="8">
        <f t="shared" si="10"/>
        <v>95.385733456453</v>
      </c>
      <c r="G42" s="8">
        <f t="shared" si="10"/>
        <v>95.14283516581955</v>
      </c>
      <c r="H42" s="8">
        <f t="shared" si="10"/>
        <v>94.96080131816116</v>
      </c>
      <c r="I42" s="8">
        <f t="shared" si="10"/>
        <v>94.84137085163455</v>
      </c>
      <c r="J42" s="8">
        <f t="shared" si="10"/>
        <v>94.78569045947971</v>
      </c>
      <c r="K42" s="8">
        <f t="shared" si="10"/>
        <v>94.79429632739671</v>
      </c>
    </row>
    <row r="43" spans="2:11" ht="15" customHeight="1">
      <c r="B43" s="7" t="s">
        <v>39</v>
      </c>
      <c r="C43" s="8">
        <f>C42-$C$21-$C$22</f>
        <v>71.45397006899752</v>
      </c>
      <c r="D43" s="8">
        <f aca="true" t="shared" si="11" ref="D43:I43">D42-$C$21-$C$22</f>
        <v>71.0443781053563</v>
      </c>
      <c r="E43" s="8">
        <f t="shared" si="11"/>
        <v>70.68719227918908</v>
      </c>
      <c r="F43" s="8">
        <f t="shared" si="11"/>
        <v>70.385733456453</v>
      </c>
      <c r="G43" s="8">
        <f t="shared" si="11"/>
        <v>70.14283516581955</v>
      </c>
      <c r="H43" s="8">
        <f t="shared" si="11"/>
        <v>69.96080131816116</v>
      </c>
      <c r="I43" s="8">
        <f t="shared" si="11"/>
        <v>69.84137085163455</v>
      </c>
      <c r="J43" s="8">
        <f>J42-$C$21-$C$22</f>
        <v>69.78569045947971</v>
      </c>
      <c r="K43" s="8">
        <f>K42-$C$21-$C$22</f>
        <v>69.79429632739671</v>
      </c>
    </row>
    <row r="44" spans="3:11" ht="15" customHeight="1">
      <c r="C44" s="8">
        <f aca="true" t="shared" si="12" ref="C44:K44">($C$24-C43)*$C$23*C41</f>
        <v>184.7012037118636</v>
      </c>
      <c r="D44" s="8">
        <f t="shared" si="12"/>
        <v>190.6238849363511</v>
      </c>
      <c r="E44" s="8">
        <f t="shared" si="12"/>
        <v>195.8948149476067</v>
      </c>
      <c r="F44" s="8">
        <f t="shared" si="12"/>
        <v>200.44614766503008</v>
      </c>
      <c r="G44" s="8">
        <f t="shared" si="12"/>
        <v>204.2167428678281</v>
      </c>
      <c r="H44" s="8">
        <f t="shared" si="12"/>
        <v>207.1537984898641</v>
      </c>
      <c r="I44" s="8">
        <f t="shared" si="12"/>
        <v>209.21435931755494</v>
      </c>
      <c r="J44" s="8">
        <f t="shared" si="12"/>
        <v>210.36662208321582</v>
      </c>
      <c r="K44" s="8">
        <f t="shared" si="12"/>
        <v>210.5909629832827</v>
      </c>
    </row>
    <row r="45" spans="1:11" ht="15" customHeight="1">
      <c r="A45" s="8" t="s">
        <v>67</v>
      </c>
      <c r="B45" s="8" t="s">
        <v>106</v>
      </c>
      <c r="C45" s="41">
        <f aca="true" t="shared" si="13" ref="C45:K45">C44*$C$25</f>
        <v>738.8048148474544</v>
      </c>
      <c r="D45" s="41">
        <f t="shared" si="13"/>
        <v>762.4955397454044</v>
      </c>
      <c r="E45" s="41">
        <f t="shared" si="13"/>
        <v>783.5792597904268</v>
      </c>
      <c r="F45" s="41">
        <f t="shared" si="13"/>
        <v>801.7845906601203</v>
      </c>
      <c r="G45" s="41">
        <f t="shared" si="13"/>
        <v>816.8669714713124</v>
      </c>
      <c r="H45" s="41">
        <f t="shared" si="13"/>
        <v>828.6151939594564</v>
      </c>
      <c r="I45" s="41">
        <f t="shared" si="13"/>
        <v>836.8574372702197</v>
      </c>
      <c r="J45" s="41">
        <f t="shared" si="13"/>
        <v>841.4664883328633</v>
      </c>
      <c r="K45" s="41">
        <f t="shared" si="13"/>
        <v>842.3638519331308</v>
      </c>
    </row>
    <row r="46" spans="1:3" ht="15" customHeight="1">
      <c r="A46" s="8" t="s">
        <v>111</v>
      </c>
      <c r="C46" s="8">
        <f>(ATAN(($C$20-$C$7)/($C$19-$C$6)))*180/PI()</f>
        <v>53.36308574193534</v>
      </c>
    </row>
    <row r="47" spans="1:11" ht="15" customHeight="1">
      <c r="A47" s="8" t="s">
        <v>110</v>
      </c>
      <c r="C47" s="8">
        <f>(ATAN((C32-$C$7)/(C31-$C$6)))*180/PI()</f>
        <v>50.58081452131934</v>
      </c>
      <c r="D47" s="8">
        <f aca="true" t="shared" si="14" ref="D47:K47">(ATAN((D32-$C$7)/(D31-$C$6)))*180/PI()</f>
        <v>50.90494942845901</v>
      </c>
      <c r="E47" s="8">
        <f t="shared" si="14"/>
        <v>51.251733767364364</v>
      </c>
      <c r="F47" s="8">
        <f t="shared" si="14"/>
        <v>51.61819169606025</v>
      </c>
      <c r="G47" s="8">
        <f t="shared" si="14"/>
        <v>52.00106379947761</v>
      </c>
      <c r="H47" s="8">
        <f t="shared" si="14"/>
        <v>52.39684719669007</v>
      </c>
      <c r="I47" s="8">
        <f t="shared" si="14"/>
        <v>52.801843060689215</v>
      </c>
      <c r="J47" s="8">
        <f t="shared" si="14"/>
        <v>53.2122103459911</v>
      </c>
      <c r="K47" s="8">
        <f t="shared" si="14"/>
        <v>53.624024155000214</v>
      </c>
    </row>
    <row r="48" spans="2:11" ht="15" customHeight="1">
      <c r="B48" s="39" t="s">
        <v>112</v>
      </c>
      <c r="C48" s="8">
        <f aca="true" t="shared" si="15" ref="C48:K48">$C$46-C47</f>
        <v>2.7822712206160034</v>
      </c>
      <c r="D48" s="8">
        <f t="shared" si="15"/>
        <v>2.4581363134763308</v>
      </c>
      <c r="E48" s="8">
        <f t="shared" si="15"/>
        <v>2.1113519745709795</v>
      </c>
      <c r="F48" s="8">
        <f t="shared" si="15"/>
        <v>1.7448940458750926</v>
      </c>
      <c r="G48" s="8">
        <f t="shared" si="15"/>
        <v>1.36202194245773</v>
      </c>
      <c r="H48" s="8">
        <f t="shared" si="15"/>
        <v>0.9662385452452753</v>
      </c>
      <c r="I48" s="8">
        <f t="shared" si="15"/>
        <v>0.561242681246128</v>
      </c>
      <c r="J48" s="8">
        <f t="shared" si="15"/>
        <v>0.15087539594424015</v>
      </c>
      <c r="K48" s="8">
        <f t="shared" si="15"/>
        <v>-0.26093841306487064</v>
      </c>
    </row>
    <row r="49" spans="2:3" ht="15" customHeight="1">
      <c r="B49" s="39" t="s">
        <v>113</v>
      </c>
      <c r="C49" s="8">
        <f>SQRT((POWER(($C$19-$C$6),2)+(POWER(($C$20-$C$7),2))))</f>
        <v>102.59162224952422</v>
      </c>
    </row>
    <row r="50" spans="2:11" ht="15" customHeight="1">
      <c r="B50" s="39" t="s">
        <v>114</v>
      </c>
      <c r="C50" s="8">
        <f>$C$49*SIN((C48)*PI()/180)</f>
        <v>4.979870317518545</v>
      </c>
      <c r="D50" s="8">
        <f aca="true" t="shared" si="16" ref="D50:K50">$C$49*SIN((D48)*PI()/180)</f>
        <v>4.400094359093292</v>
      </c>
      <c r="E50" s="8">
        <f t="shared" si="16"/>
        <v>3.779650205855663</v>
      </c>
      <c r="F50" s="8">
        <f t="shared" si="16"/>
        <v>3.123857337660628</v>
      </c>
      <c r="G50" s="8">
        <f t="shared" si="16"/>
        <v>2.4385544941995585</v>
      </c>
      <c r="H50" s="8">
        <f t="shared" si="16"/>
        <v>1.7300276241306447</v>
      </c>
      <c r="I50" s="8">
        <f t="shared" si="16"/>
        <v>1.0049235185191763</v>
      </c>
      <c r="J50" s="8">
        <f t="shared" si="16"/>
        <v>0.2701513771283235</v>
      </c>
      <c r="K50" s="8">
        <f t="shared" si="16"/>
        <v>-0.46722468550303</v>
      </c>
    </row>
    <row r="51" spans="2:11" ht="15" customHeight="1">
      <c r="B51" s="39"/>
      <c r="C51" s="8">
        <f>($C$24-C43)*$C$23*C50*$C$25</f>
        <v>190.18406982773783</v>
      </c>
      <c r="D51" s="8">
        <f aca="true" t="shared" si="17" ref="D51:K51">($C$24-D43)*$C$23*D50*$C$25</f>
        <v>172.46951022770634</v>
      </c>
      <c r="E51" s="8">
        <f t="shared" si="17"/>
        <v>151.46661866457939</v>
      </c>
      <c r="F51" s="8">
        <f t="shared" si="17"/>
        <v>127.49964325085955</v>
      </c>
      <c r="G51" s="8">
        <f t="shared" si="17"/>
        <v>100.98424030360285</v>
      </c>
      <c r="H51" s="8">
        <f t="shared" si="17"/>
        <v>72.41671307009143</v>
      </c>
      <c r="I51" s="8">
        <f t="shared" si="17"/>
        <v>42.35963430377309</v>
      </c>
      <c r="J51" s="8">
        <f t="shared" si="17"/>
        <v>11.424399925865076</v>
      </c>
      <c r="K51" s="8">
        <f t="shared" si="17"/>
        <v>-19.74853223895043</v>
      </c>
    </row>
    <row r="52" spans="1:3" ht="15" customHeight="1">
      <c r="A52" s="8" t="s">
        <v>118</v>
      </c>
      <c r="C52" s="47">
        <f>トーションコイルばね!B8</f>
        <v>2.180381004324281</v>
      </c>
    </row>
    <row r="53" spans="1:3" ht="15" customHeight="1">
      <c r="A53" s="8" t="s">
        <v>119</v>
      </c>
      <c r="C53" s="46">
        <v>17</v>
      </c>
    </row>
    <row r="54" spans="1:11" ht="15" customHeight="1">
      <c r="A54" s="8" t="s">
        <v>120</v>
      </c>
      <c r="C54" s="8">
        <f>$C$52*($C$53+C27)</f>
        <v>37.06647707351278</v>
      </c>
      <c r="D54" s="8">
        <f aca="true" t="shared" si="18" ref="D54:K54">$C$52*($C$53+D27)</f>
        <v>47.96838209513418</v>
      </c>
      <c r="E54" s="8">
        <f t="shared" si="18"/>
        <v>58.87028711675559</v>
      </c>
      <c r="F54" s="8">
        <f t="shared" si="18"/>
        <v>69.772192138377</v>
      </c>
      <c r="G54" s="8">
        <f t="shared" si="18"/>
        <v>80.6740971599984</v>
      </c>
      <c r="H54" s="8">
        <f t="shared" si="18"/>
        <v>91.5760021816198</v>
      </c>
      <c r="I54" s="8">
        <f t="shared" si="18"/>
        <v>102.47790720324122</v>
      </c>
      <c r="J54" s="8">
        <f t="shared" si="18"/>
        <v>113.37981222486262</v>
      </c>
      <c r="K54" s="8">
        <f t="shared" si="18"/>
        <v>124.28171724648402</v>
      </c>
    </row>
    <row r="55" spans="1:3" ht="15" customHeight="1">
      <c r="A55" s="8" t="s">
        <v>99</v>
      </c>
      <c r="C55" s="4">
        <v>4</v>
      </c>
    </row>
    <row r="56" spans="1:11" ht="15" customHeight="1">
      <c r="A56" s="8" t="s">
        <v>98</v>
      </c>
      <c r="C56" s="8">
        <f>C54*$C$55</f>
        <v>148.26590829405112</v>
      </c>
      <c r="D56" s="8">
        <f aca="true" t="shared" si="19" ref="D56:K56">D54*$C$55</f>
        <v>191.87352838053673</v>
      </c>
      <c r="E56" s="8">
        <f t="shared" si="19"/>
        <v>235.48114846702236</v>
      </c>
      <c r="F56" s="8">
        <f t="shared" si="19"/>
        <v>279.088768553508</v>
      </c>
      <c r="G56" s="8">
        <f t="shared" si="19"/>
        <v>322.6963886399936</v>
      </c>
      <c r="H56" s="8">
        <f t="shared" si="19"/>
        <v>366.3040087264792</v>
      </c>
      <c r="I56" s="8">
        <f t="shared" si="19"/>
        <v>409.91162881296486</v>
      </c>
      <c r="J56" s="8">
        <f t="shared" si="19"/>
        <v>453.5192488994505</v>
      </c>
      <c r="K56" s="8">
        <f t="shared" si="19"/>
        <v>497.1268689859361</v>
      </c>
    </row>
    <row r="57" spans="1:11" ht="15" customHeight="1">
      <c r="A57" s="8" t="s">
        <v>107</v>
      </c>
      <c r="C57" s="42">
        <f>C51+C56</f>
        <v>338.44997812178894</v>
      </c>
      <c r="D57" s="42">
        <f aca="true" t="shared" si="20" ref="D57:K57">D51+D56</f>
        <v>364.3430386082431</v>
      </c>
      <c r="E57" s="42">
        <f t="shared" si="20"/>
        <v>386.9477671316017</v>
      </c>
      <c r="F57" s="42">
        <f t="shared" si="20"/>
        <v>406.5884118043675</v>
      </c>
      <c r="G57" s="42">
        <f t="shared" si="20"/>
        <v>423.68062894359645</v>
      </c>
      <c r="H57" s="42">
        <f t="shared" si="20"/>
        <v>438.7207217965706</v>
      </c>
      <c r="I57" s="42">
        <f t="shared" si="20"/>
        <v>452.27126311673794</v>
      </c>
      <c r="J57" s="42">
        <f t="shared" si="20"/>
        <v>464.94364882531556</v>
      </c>
      <c r="K57" s="42">
        <f t="shared" si="20"/>
        <v>477.37833674698567</v>
      </c>
    </row>
    <row r="58" ht="15" customHeight="1"/>
    <row r="59" ht="15" customHeight="1"/>
    <row r="60" ht="15" customHeight="1"/>
    <row r="61" ht="15" customHeight="1"/>
    <row r="62" ht="15" customHeight="1"/>
  </sheetData>
  <sheetProtection password="CC6F" sheet="1" objects="1" scenarios="1"/>
  <printOptions/>
  <pageMargins left="0.5905511811023623" right="0.1968503937007874" top="0.7874015748031497" bottom="0.1968503937007874" header="0.5118110236220472" footer="0.511811023622047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9.00390625" defaultRowHeight="13.5"/>
  <cols>
    <col min="1" max="1" width="25.625" style="6" customWidth="1"/>
    <col min="2" max="26" width="10.625" style="6" customWidth="1"/>
    <col min="27" max="16384" width="9.00390625" style="6" customWidth="1"/>
  </cols>
  <sheetData>
    <row r="1" spans="2:7" ht="13.5">
      <c r="B1" s="1"/>
      <c r="C1" s="1"/>
      <c r="D1" s="1"/>
      <c r="E1" s="1"/>
      <c r="F1" s="1"/>
      <c r="G1" s="1"/>
    </row>
    <row r="2" spans="1:2" ht="15.75" customHeight="1">
      <c r="A2" s="6" t="s">
        <v>2</v>
      </c>
      <c r="B2" s="30" t="s">
        <v>30</v>
      </c>
    </row>
    <row r="3" spans="1:2" ht="15.75" customHeight="1">
      <c r="A3" s="6" t="s">
        <v>3</v>
      </c>
      <c r="B3" s="30">
        <v>2</v>
      </c>
    </row>
    <row r="4" spans="1:2" ht="15.75" customHeight="1">
      <c r="A4" s="6" t="s">
        <v>0</v>
      </c>
      <c r="B4" s="6">
        <f>LOOKUP(B2,$C$26:$K$26,$C$27:$K$27)</f>
        <v>8000</v>
      </c>
    </row>
    <row r="5" spans="1:2" ht="15.75" customHeight="1">
      <c r="A5" s="6" t="s">
        <v>4</v>
      </c>
      <c r="B5" s="7">
        <f>VLOOKUP(B3,$B$28:$K$78,MATCH(B2,$C$26:$K$26,1)+1)</f>
        <v>205.1020408163265</v>
      </c>
    </row>
    <row r="6" spans="1:2" ht="15.75" customHeight="1">
      <c r="A6" s="6" t="s">
        <v>5</v>
      </c>
      <c r="B6" s="30">
        <v>12.3</v>
      </c>
    </row>
    <row r="7" spans="1:2" ht="15.75" customHeight="1">
      <c r="A7" s="6" t="s">
        <v>6</v>
      </c>
      <c r="B7" s="30">
        <v>14</v>
      </c>
    </row>
    <row r="8" spans="1:2" ht="15.75" customHeight="1">
      <c r="A8" s="6" t="s">
        <v>1</v>
      </c>
      <c r="B8" s="8">
        <f>B4*POWER(B3,4)/8/B7/POWER(B6,3)</f>
        <v>0.6141530495500982</v>
      </c>
    </row>
    <row r="9" spans="1:2" ht="15.75" customHeight="1">
      <c r="A9" s="6" t="s">
        <v>7</v>
      </c>
      <c r="B9" s="31" t="s">
        <v>31</v>
      </c>
    </row>
    <row r="10" spans="1:2" ht="15.75" customHeight="1">
      <c r="A10" s="6" t="s">
        <v>8</v>
      </c>
      <c r="B10" s="32">
        <f>B3*(B7+(LOOKUP(B9,$M$26:$N$26,$M$27:$N$27))+1)</f>
        <v>31</v>
      </c>
    </row>
    <row r="11" spans="1:2" ht="15.75" customHeight="1">
      <c r="A11" s="6" t="s">
        <v>9</v>
      </c>
      <c r="B11" s="30">
        <v>87</v>
      </c>
    </row>
    <row r="12" spans="1:2" ht="15.75" customHeight="1">
      <c r="A12" s="6" t="s">
        <v>10</v>
      </c>
      <c r="B12" s="8" t="e">
        <f>軸間距離設定!#REF!</f>
        <v>#REF!</v>
      </c>
    </row>
    <row r="13" spans="1:2" ht="15.75" customHeight="1">
      <c r="A13" s="6" t="s">
        <v>11</v>
      </c>
      <c r="B13" s="8" t="e">
        <f>軸間距離設定!#REF!</f>
        <v>#REF!</v>
      </c>
    </row>
    <row r="14" spans="1:2" ht="15.75" customHeight="1">
      <c r="A14" s="6" t="s">
        <v>12</v>
      </c>
      <c r="B14" s="8" t="e">
        <f>B8*(B11-B12)</f>
        <v>#REF!</v>
      </c>
    </row>
    <row r="15" spans="1:2" ht="15.75" customHeight="1">
      <c r="A15" s="6" t="s">
        <v>13</v>
      </c>
      <c r="B15" s="8" t="e">
        <f>B8*(B11-B13)</f>
        <v>#REF!</v>
      </c>
    </row>
    <row r="16" spans="1:2" ht="15.75" customHeight="1">
      <c r="A16" s="6" t="s">
        <v>14</v>
      </c>
      <c r="B16" s="9" t="e">
        <f>8*B6*B15/PI()/POWER(B3,3)</f>
        <v>#REF!</v>
      </c>
    </row>
    <row r="17" spans="1:2" ht="15.75" customHeight="1">
      <c r="A17" s="6" t="s">
        <v>15</v>
      </c>
      <c r="B17" s="9" t="e">
        <f>((4*B6/B3-1)/(4*B6/B3-1)+0.615/(B6/B3))*B16</f>
        <v>#REF!</v>
      </c>
    </row>
    <row r="18" spans="1:2" ht="15.75" customHeight="1">
      <c r="A18" s="6" t="s">
        <v>16</v>
      </c>
      <c r="B18" s="10" t="e">
        <f>B17/B5</f>
        <v>#REF!</v>
      </c>
    </row>
    <row r="19" spans="1:2" ht="15.75" customHeight="1">
      <c r="A19" s="6" t="s">
        <v>17</v>
      </c>
      <c r="B19" s="2" t="e">
        <f>B14/B15</f>
        <v>#REF!</v>
      </c>
    </row>
    <row r="20" ht="15.75" customHeight="1"/>
    <row r="21" ht="15.75" customHeight="1"/>
    <row r="22" ht="15.75" customHeight="1"/>
    <row r="26" spans="2:14" ht="15" thickBot="1" thickTop="1">
      <c r="B26" s="11"/>
      <c r="C26" s="12" t="s">
        <v>18</v>
      </c>
      <c r="D26" s="12" t="s">
        <v>19</v>
      </c>
      <c r="E26" s="12" t="s">
        <v>20</v>
      </c>
      <c r="F26" s="12" t="s">
        <v>21</v>
      </c>
      <c r="G26" s="12" t="s">
        <v>22</v>
      </c>
      <c r="H26" s="12" t="s">
        <v>23</v>
      </c>
      <c r="I26" s="12" t="s">
        <v>24</v>
      </c>
      <c r="J26" s="12" t="s">
        <v>25</v>
      </c>
      <c r="K26" s="13" t="s">
        <v>26</v>
      </c>
      <c r="M26" s="6" t="s">
        <v>27</v>
      </c>
      <c r="N26" s="6" t="s">
        <v>28</v>
      </c>
    </row>
    <row r="27" spans="2:14" ht="15" thickBot="1" thickTop="1">
      <c r="B27" s="14" t="s">
        <v>29</v>
      </c>
      <c r="C27" s="15">
        <v>7000</v>
      </c>
      <c r="D27" s="15">
        <v>7000</v>
      </c>
      <c r="E27" s="15">
        <v>7000</v>
      </c>
      <c r="F27" s="15">
        <v>8000</v>
      </c>
      <c r="G27" s="15">
        <v>8000</v>
      </c>
      <c r="H27" s="15">
        <v>8000</v>
      </c>
      <c r="I27" s="15">
        <v>8000</v>
      </c>
      <c r="J27" s="15">
        <v>8000</v>
      </c>
      <c r="K27" s="16">
        <v>8000</v>
      </c>
      <c r="M27" s="6">
        <v>0.5</v>
      </c>
      <c r="N27" s="6">
        <v>2.5</v>
      </c>
    </row>
    <row r="28" spans="2:11" ht="14.25" thickTop="1">
      <c r="B28" s="17">
        <v>0.08</v>
      </c>
      <c r="C28" s="18">
        <f aca="true" t="shared" si="0" ref="C28:C35">1650/9.8</f>
        <v>168.3673469387755</v>
      </c>
      <c r="D28" s="18">
        <f aca="true" t="shared" si="1" ref="D28:D35">2150/9.8</f>
        <v>219.3877551020408</v>
      </c>
      <c r="E28" s="19"/>
      <c r="F28" s="18">
        <f>2110/9.8</f>
        <v>215.30612244897958</v>
      </c>
      <c r="G28" s="18">
        <f>2450/9.8</f>
        <v>249.99999999999997</v>
      </c>
      <c r="H28" s="18">
        <f>2790/9.8</f>
        <v>284.69387755102036</v>
      </c>
      <c r="I28" s="18">
        <f>2890/9.8</f>
        <v>294.89795918367344</v>
      </c>
      <c r="J28" s="18">
        <f>3190/9.8</f>
        <v>325.51020408163265</v>
      </c>
      <c r="K28" s="20"/>
    </row>
    <row r="29" spans="2:11" ht="13.5">
      <c r="B29" s="17">
        <v>0.09</v>
      </c>
      <c r="C29" s="18">
        <f t="shared" si="0"/>
        <v>168.3673469387755</v>
      </c>
      <c r="D29" s="18">
        <f t="shared" si="1"/>
        <v>219.3877551020408</v>
      </c>
      <c r="E29" s="19"/>
      <c r="F29" s="18">
        <f>2060/9.8</f>
        <v>210.20408163265304</v>
      </c>
      <c r="G29" s="18">
        <f>2400/9.8</f>
        <v>244.89795918367346</v>
      </c>
      <c r="H29" s="18">
        <f>2750/9.8</f>
        <v>280.61224489795916</v>
      </c>
      <c r="I29" s="18">
        <f>2840/9.8</f>
        <v>289.7959183673469</v>
      </c>
      <c r="J29" s="18">
        <f>3140/9.8</f>
        <v>320.4081632653061</v>
      </c>
      <c r="K29" s="20"/>
    </row>
    <row r="30" spans="2:11" ht="13.5">
      <c r="B30" s="17">
        <v>0.1</v>
      </c>
      <c r="C30" s="18">
        <f t="shared" si="0"/>
        <v>168.3673469387755</v>
      </c>
      <c r="D30" s="18">
        <f t="shared" si="1"/>
        <v>219.3877551020408</v>
      </c>
      <c r="E30" s="19"/>
      <c r="F30" s="18">
        <f>2010/9.8</f>
        <v>205.1020408163265</v>
      </c>
      <c r="G30" s="18">
        <f>2350/9.8</f>
        <v>239.79591836734693</v>
      </c>
      <c r="H30" s="18">
        <f>2700/9.8</f>
        <v>275.51020408163265</v>
      </c>
      <c r="I30" s="18">
        <f>2790/9.8</f>
        <v>284.69387755102036</v>
      </c>
      <c r="J30" s="18">
        <f>3090/9.8</f>
        <v>315.3061224489796</v>
      </c>
      <c r="K30" s="20"/>
    </row>
    <row r="31" spans="2:11" ht="13.5">
      <c r="B31" s="17">
        <v>0.12</v>
      </c>
      <c r="C31" s="18">
        <f t="shared" si="0"/>
        <v>168.3673469387755</v>
      </c>
      <c r="D31" s="18">
        <f t="shared" si="1"/>
        <v>219.3877551020408</v>
      </c>
      <c r="E31" s="19"/>
      <c r="F31" s="18">
        <f>1960/9.8</f>
        <v>199.99999999999997</v>
      </c>
      <c r="G31" s="18">
        <f>2300/9.8</f>
        <v>234.6938775510204</v>
      </c>
      <c r="H31" s="18">
        <f>2650/9.8</f>
        <v>270.4081632653061</v>
      </c>
      <c r="I31" s="18">
        <f>2750/9.8</f>
        <v>280.61224489795916</v>
      </c>
      <c r="J31" s="18">
        <f>3040/9.8</f>
        <v>310.204081632653</v>
      </c>
      <c r="K31" s="20"/>
    </row>
    <row r="32" spans="2:11" ht="13.5">
      <c r="B32" s="17">
        <v>0.14</v>
      </c>
      <c r="C32" s="18">
        <f t="shared" si="0"/>
        <v>168.3673469387755</v>
      </c>
      <c r="D32" s="18">
        <f t="shared" si="1"/>
        <v>219.3877551020408</v>
      </c>
      <c r="E32" s="19"/>
      <c r="F32" s="18">
        <f>1960/9.8</f>
        <v>199.99999999999997</v>
      </c>
      <c r="G32" s="18">
        <f>2260/9.8</f>
        <v>230.61224489795916</v>
      </c>
      <c r="H32" s="18">
        <f>2600/9.8</f>
        <v>265.3061224489796</v>
      </c>
      <c r="I32" s="18">
        <f>2700/9.8</f>
        <v>275.51020408163265</v>
      </c>
      <c r="J32" s="18">
        <f>2990/9.8</f>
        <v>305.1020408163265</v>
      </c>
      <c r="K32" s="20"/>
    </row>
    <row r="33" spans="2:11" ht="13.5">
      <c r="B33" s="17">
        <v>0.16</v>
      </c>
      <c r="C33" s="18">
        <f t="shared" si="0"/>
        <v>168.3673469387755</v>
      </c>
      <c r="D33" s="18">
        <f t="shared" si="1"/>
        <v>219.3877551020408</v>
      </c>
      <c r="E33" s="19"/>
      <c r="F33" s="18">
        <f>1910/9.8</f>
        <v>194.89795918367346</v>
      </c>
      <c r="G33" s="18">
        <f>2210/9.8</f>
        <v>225.51020408163265</v>
      </c>
      <c r="H33" s="18">
        <f>2550/9.8</f>
        <v>260.204081632653</v>
      </c>
      <c r="I33" s="18">
        <f>2650/9.8</f>
        <v>270.4081632653061</v>
      </c>
      <c r="J33" s="18">
        <f>2940/9.8</f>
        <v>300</v>
      </c>
      <c r="K33" s="20"/>
    </row>
    <row r="34" spans="2:11" ht="13.5">
      <c r="B34" s="17">
        <v>0.18</v>
      </c>
      <c r="C34" s="18">
        <f t="shared" si="0"/>
        <v>168.3673469387755</v>
      </c>
      <c r="D34" s="18">
        <f t="shared" si="1"/>
        <v>219.3877551020408</v>
      </c>
      <c r="E34" s="19"/>
      <c r="F34" s="18">
        <f>1910/9.8</f>
        <v>194.89795918367346</v>
      </c>
      <c r="G34" s="18">
        <f>2210/9.8</f>
        <v>225.51020408163265</v>
      </c>
      <c r="H34" s="18">
        <f>2500/9.8</f>
        <v>255.1020408163265</v>
      </c>
      <c r="I34" s="18">
        <f>2600/9.8</f>
        <v>265.3061224489796</v>
      </c>
      <c r="J34" s="18">
        <f>2890/9.8</f>
        <v>294.89795918367344</v>
      </c>
      <c r="K34" s="20"/>
    </row>
    <row r="35" spans="2:11" ht="13.5">
      <c r="B35" s="17">
        <v>0.2</v>
      </c>
      <c r="C35" s="18">
        <f t="shared" si="0"/>
        <v>168.3673469387755</v>
      </c>
      <c r="D35" s="18">
        <f t="shared" si="1"/>
        <v>219.3877551020408</v>
      </c>
      <c r="E35" s="19"/>
      <c r="F35" s="18">
        <f>1910/9.8</f>
        <v>194.89795918367346</v>
      </c>
      <c r="G35" s="18">
        <f>2160/9.8</f>
        <v>220.40816326530611</v>
      </c>
      <c r="H35" s="18">
        <f>2500/9.8</f>
        <v>255.1020408163265</v>
      </c>
      <c r="I35" s="18">
        <f>2600/9.8</f>
        <v>265.3061224489796</v>
      </c>
      <c r="J35" s="18">
        <f>2840/9.8</f>
        <v>289.7959183673469</v>
      </c>
      <c r="K35" s="20"/>
    </row>
    <row r="36" spans="2:11" ht="13.5">
      <c r="B36" s="17">
        <v>0.23</v>
      </c>
      <c r="C36" s="18">
        <f aca="true" t="shared" si="2" ref="C36:C45">1600/9.8</f>
        <v>163.26530612244898</v>
      </c>
      <c r="D36" s="18">
        <f aca="true" t="shared" si="3" ref="D36:D41">2050/9.8</f>
        <v>209.18367346938774</v>
      </c>
      <c r="E36" s="19"/>
      <c r="F36" s="18">
        <f>1860/9.8</f>
        <v>189.79591836734693</v>
      </c>
      <c r="G36" s="18">
        <f>2110/9.8</f>
        <v>215.30612244897958</v>
      </c>
      <c r="H36" s="18">
        <f>2450/9.8</f>
        <v>249.99999999999997</v>
      </c>
      <c r="I36" s="18">
        <f>2550/9.8</f>
        <v>260.204081632653</v>
      </c>
      <c r="J36" s="18">
        <f>2790/9.8</f>
        <v>284.69387755102036</v>
      </c>
      <c r="K36" s="20"/>
    </row>
    <row r="37" spans="2:11" ht="13.5">
      <c r="B37" s="17">
        <v>0.26</v>
      </c>
      <c r="C37" s="18">
        <f t="shared" si="2"/>
        <v>163.26530612244898</v>
      </c>
      <c r="D37" s="18">
        <f t="shared" si="3"/>
        <v>209.18367346938774</v>
      </c>
      <c r="E37" s="19"/>
      <c r="F37" s="18">
        <f>1810/9.8</f>
        <v>184.6938775510204</v>
      </c>
      <c r="G37" s="18">
        <f>2060/9.8</f>
        <v>210.20408163265304</v>
      </c>
      <c r="H37" s="18">
        <f>2400/9.8</f>
        <v>244.89795918367346</v>
      </c>
      <c r="I37" s="18">
        <f>2500/9.8</f>
        <v>255.1020408163265</v>
      </c>
      <c r="J37" s="18">
        <f>2750/9.8</f>
        <v>280.61224489795916</v>
      </c>
      <c r="K37" s="20"/>
    </row>
    <row r="38" spans="2:11" ht="13.5">
      <c r="B38" s="17">
        <v>0.29</v>
      </c>
      <c r="C38" s="18">
        <f t="shared" si="2"/>
        <v>163.26530612244898</v>
      </c>
      <c r="D38" s="18">
        <f t="shared" si="3"/>
        <v>209.18367346938774</v>
      </c>
      <c r="E38" s="19"/>
      <c r="F38" s="18">
        <f>1770/9.8</f>
        <v>180.61224489795916</v>
      </c>
      <c r="G38" s="18">
        <f>2010/9.8</f>
        <v>205.1020408163265</v>
      </c>
      <c r="H38" s="18">
        <f>2350/9.8</f>
        <v>239.79591836734693</v>
      </c>
      <c r="I38" s="18">
        <f>2450/9.8</f>
        <v>249.99999999999997</v>
      </c>
      <c r="J38" s="18">
        <f>2700/9.8</f>
        <v>275.51020408163265</v>
      </c>
      <c r="K38" s="20"/>
    </row>
    <row r="39" spans="2:11" ht="13.5">
      <c r="B39" s="17">
        <v>0.32</v>
      </c>
      <c r="C39" s="18">
        <f t="shared" si="2"/>
        <v>163.26530612244898</v>
      </c>
      <c r="D39" s="18">
        <f t="shared" si="3"/>
        <v>209.18367346938774</v>
      </c>
      <c r="E39" s="19"/>
      <c r="F39" s="18">
        <f>1720/9.8</f>
        <v>175.51020408163265</v>
      </c>
      <c r="G39" s="18">
        <f>2010/9.8</f>
        <v>205.1020408163265</v>
      </c>
      <c r="H39" s="18">
        <f>2300/9.8</f>
        <v>234.6938775510204</v>
      </c>
      <c r="I39" s="18">
        <f>2400/9.8</f>
        <v>244.89795918367346</v>
      </c>
      <c r="J39" s="18">
        <f>2650/9.8</f>
        <v>270.4081632653061</v>
      </c>
      <c r="K39" s="20"/>
    </row>
    <row r="40" spans="2:11" ht="13.5">
      <c r="B40" s="17">
        <v>0.35</v>
      </c>
      <c r="C40" s="18">
        <f t="shared" si="2"/>
        <v>163.26530612244898</v>
      </c>
      <c r="D40" s="18">
        <f t="shared" si="3"/>
        <v>209.18367346938774</v>
      </c>
      <c r="E40" s="19"/>
      <c r="F40" s="18">
        <f>1720/9.8</f>
        <v>175.51020408163265</v>
      </c>
      <c r="G40" s="18">
        <f>1960/9.8</f>
        <v>199.99999999999997</v>
      </c>
      <c r="H40" s="18">
        <f>2300/9.8</f>
        <v>234.6938775510204</v>
      </c>
      <c r="I40" s="18">
        <f>2400/9.8</f>
        <v>244.89795918367346</v>
      </c>
      <c r="J40" s="18">
        <f>2650/9.8</f>
        <v>270.4081632653061</v>
      </c>
      <c r="K40" s="20"/>
    </row>
    <row r="41" spans="2:11" ht="13.5">
      <c r="B41" s="17">
        <v>0.4</v>
      </c>
      <c r="C41" s="18">
        <f t="shared" si="2"/>
        <v>163.26530612244898</v>
      </c>
      <c r="D41" s="18">
        <f t="shared" si="3"/>
        <v>209.18367346938774</v>
      </c>
      <c r="E41" s="19"/>
      <c r="F41" s="18">
        <f>1670/9.8</f>
        <v>170.40816326530611</v>
      </c>
      <c r="G41" s="18">
        <f>1910/9.8</f>
        <v>194.89795918367346</v>
      </c>
      <c r="H41" s="18">
        <f>2260/9.8</f>
        <v>230.61224489795916</v>
      </c>
      <c r="I41" s="18">
        <f>2350/9.8</f>
        <v>239.79591836734693</v>
      </c>
      <c r="J41" s="18">
        <f>2600/9.8</f>
        <v>265.3061224489796</v>
      </c>
      <c r="K41" s="20"/>
    </row>
    <row r="42" spans="2:11" ht="13.5">
      <c r="B42" s="17">
        <v>0.45</v>
      </c>
      <c r="C42" s="18">
        <f t="shared" si="2"/>
        <v>163.26530612244898</v>
      </c>
      <c r="D42" s="18">
        <f>1950/9.8</f>
        <v>198.97959183673467</v>
      </c>
      <c r="E42" s="19"/>
      <c r="F42" s="18">
        <f>1620/9.8</f>
        <v>165.30612244897958</v>
      </c>
      <c r="G42" s="18">
        <f>1910/9.8</f>
        <v>194.89795918367346</v>
      </c>
      <c r="H42" s="18">
        <f>2210/9.8</f>
        <v>225.51020408163265</v>
      </c>
      <c r="I42" s="18">
        <f>2300/9.8</f>
        <v>234.6938775510204</v>
      </c>
      <c r="J42" s="18">
        <f>2550/9.8</f>
        <v>260.204081632653</v>
      </c>
      <c r="K42" s="20"/>
    </row>
    <row r="43" spans="2:11" ht="13.5">
      <c r="B43" s="17">
        <v>0.5</v>
      </c>
      <c r="C43" s="18">
        <f t="shared" si="2"/>
        <v>163.26530612244898</v>
      </c>
      <c r="D43" s="18">
        <f>1950/9.8</f>
        <v>198.97959183673467</v>
      </c>
      <c r="E43" s="19"/>
      <c r="F43" s="18">
        <f>1620/9.8</f>
        <v>165.30612244897958</v>
      </c>
      <c r="G43" s="18">
        <f>1910/9.8</f>
        <v>194.89795918367346</v>
      </c>
      <c r="H43" s="18">
        <f>2210/9.8</f>
        <v>225.51020408163265</v>
      </c>
      <c r="I43" s="18">
        <f>2300/9.8</f>
        <v>234.6938775510204</v>
      </c>
      <c r="J43" s="18">
        <f>2550/9.8</f>
        <v>260.204081632653</v>
      </c>
      <c r="K43" s="20"/>
    </row>
    <row r="44" spans="2:11" ht="13.5">
      <c r="B44" s="17">
        <v>0.55</v>
      </c>
      <c r="C44" s="18">
        <f t="shared" si="2"/>
        <v>163.26530612244898</v>
      </c>
      <c r="D44" s="18">
        <f>1950/9.8</f>
        <v>198.97959183673467</v>
      </c>
      <c r="E44" s="19"/>
      <c r="F44" s="18">
        <f>1570/9.8</f>
        <v>160.20408163265304</v>
      </c>
      <c r="G44" s="18">
        <f>1860/9.8</f>
        <v>189.79591836734693</v>
      </c>
      <c r="H44" s="18">
        <f>2160/9.8</f>
        <v>220.40816326530611</v>
      </c>
      <c r="I44" s="18">
        <f>2260/9.8</f>
        <v>230.61224489795916</v>
      </c>
      <c r="J44" s="18">
        <f>2500/9.8</f>
        <v>255.1020408163265</v>
      </c>
      <c r="K44" s="20"/>
    </row>
    <row r="45" spans="2:11" ht="13.5">
      <c r="B45" s="17">
        <v>0.6</v>
      </c>
      <c r="C45" s="18">
        <f t="shared" si="2"/>
        <v>163.26530612244898</v>
      </c>
      <c r="D45" s="18">
        <f>1950/9.8</f>
        <v>198.97959183673467</v>
      </c>
      <c r="E45" s="19"/>
      <c r="F45" s="18">
        <f>1570/9.8</f>
        <v>160.20408163265304</v>
      </c>
      <c r="G45" s="18">
        <f>1810/9.8</f>
        <v>184.6938775510204</v>
      </c>
      <c r="H45" s="18">
        <f>2110/9.8</f>
        <v>215.30612244897958</v>
      </c>
      <c r="I45" s="18">
        <f>2210/9.8</f>
        <v>225.51020408163265</v>
      </c>
      <c r="J45" s="18">
        <f>2450/9.8</f>
        <v>249.99999999999997</v>
      </c>
      <c r="K45" s="20"/>
    </row>
    <row r="46" spans="2:11" ht="13.5">
      <c r="B46" s="17">
        <v>0.65</v>
      </c>
      <c r="C46" s="18">
        <f>1530/9.8</f>
        <v>156.12244897959184</v>
      </c>
      <c r="D46" s="18">
        <f>1850/9.8</f>
        <v>188.77551020408163</v>
      </c>
      <c r="E46" s="19"/>
      <c r="F46" s="18">
        <f>1570/9.8</f>
        <v>160.20408163265304</v>
      </c>
      <c r="G46" s="18">
        <f>1810/9.8</f>
        <v>184.6938775510204</v>
      </c>
      <c r="H46" s="18">
        <f>2110/9.8</f>
        <v>215.30612244897958</v>
      </c>
      <c r="I46" s="18">
        <f>2210/9.8</f>
        <v>225.51020408163265</v>
      </c>
      <c r="J46" s="18">
        <f>2450/9.8</f>
        <v>249.99999999999997</v>
      </c>
      <c r="K46" s="20"/>
    </row>
    <row r="47" spans="2:11" ht="13.5">
      <c r="B47" s="17">
        <v>0.7</v>
      </c>
      <c r="C47" s="18">
        <f>1530/9.8</f>
        <v>156.12244897959184</v>
      </c>
      <c r="D47" s="18">
        <f>1850/9.8</f>
        <v>188.77551020408163</v>
      </c>
      <c r="E47" s="19"/>
      <c r="F47" s="18">
        <f>1520/9.8</f>
        <v>155.1020408163265</v>
      </c>
      <c r="G47" s="18">
        <f>1770/9.8</f>
        <v>180.61224489795916</v>
      </c>
      <c r="H47" s="18">
        <f>2060/9.8</f>
        <v>210.20408163265304</v>
      </c>
      <c r="I47" s="18">
        <f>2160/9.8</f>
        <v>220.40816326530611</v>
      </c>
      <c r="J47" s="18">
        <f>2400/9.8</f>
        <v>244.89795918367346</v>
      </c>
      <c r="K47" s="20"/>
    </row>
    <row r="48" spans="2:11" ht="13.5">
      <c r="B48" s="17">
        <v>0.8</v>
      </c>
      <c r="C48" s="18">
        <f>1530/9.8</f>
        <v>156.12244897959184</v>
      </c>
      <c r="D48" s="18">
        <f>1850/9.8</f>
        <v>188.77551020408163</v>
      </c>
      <c r="E48" s="19"/>
      <c r="F48" s="18">
        <f>1520/9.8</f>
        <v>155.1020408163265</v>
      </c>
      <c r="G48" s="18">
        <f>1770/9.8</f>
        <v>180.61224489795916</v>
      </c>
      <c r="H48" s="18">
        <f>2010/9.8</f>
        <v>205.1020408163265</v>
      </c>
      <c r="I48" s="18">
        <f>2110/9.8</f>
        <v>215.30612244897958</v>
      </c>
      <c r="J48" s="18">
        <f>2350/9.8</f>
        <v>239.79591836734693</v>
      </c>
      <c r="K48" s="20"/>
    </row>
    <row r="49" spans="2:11" ht="13.5">
      <c r="B49" s="17">
        <v>0.9</v>
      </c>
      <c r="C49" s="18">
        <f>1530/9.8</f>
        <v>156.12244897959184</v>
      </c>
      <c r="D49" s="18">
        <f>1850/9.8</f>
        <v>188.77551020408163</v>
      </c>
      <c r="E49" s="19"/>
      <c r="F49" s="18">
        <f>1520/9.8</f>
        <v>155.1020408163265</v>
      </c>
      <c r="G49" s="18">
        <f>1770/9.8</f>
        <v>180.61224489795916</v>
      </c>
      <c r="H49" s="18">
        <f>2010/9.8</f>
        <v>205.1020408163265</v>
      </c>
      <c r="I49" s="18">
        <f>2110/9.8</f>
        <v>215.30612244897958</v>
      </c>
      <c r="J49" s="18">
        <f>2300/9.8</f>
        <v>234.6938775510204</v>
      </c>
      <c r="K49" s="20"/>
    </row>
    <row r="50" spans="2:11" ht="13.5">
      <c r="B50" s="17">
        <v>1</v>
      </c>
      <c r="C50" s="18">
        <f>1530/9.8</f>
        <v>156.12244897959184</v>
      </c>
      <c r="D50" s="18">
        <f>1850/9.8</f>
        <v>188.77551020408163</v>
      </c>
      <c r="E50" s="19"/>
      <c r="F50" s="18">
        <f>1470/9.8</f>
        <v>150</v>
      </c>
      <c r="G50" s="18">
        <f>1720/9.8</f>
        <v>175.51020408163265</v>
      </c>
      <c r="H50" s="18">
        <f>1960/9.8</f>
        <v>199.99999999999997</v>
      </c>
      <c r="I50" s="18">
        <f>2060/9.8</f>
        <v>210.20408163265304</v>
      </c>
      <c r="J50" s="18">
        <f>2260/9.8</f>
        <v>230.61224489795916</v>
      </c>
      <c r="K50" s="20">
        <f>2010/9.8</f>
        <v>205.1020408163265</v>
      </c>
    </row>
    <row r="51" spans="2:11" ht="13.5">
      <c r="B51" s="21">
        <v>1.1</v>
      </c>
      <c r="C51" s="22">
        <f>1450/9.8</f>
        <v>147.95918367346937</v>
      </c>
      <c r="D51" s="22">
        <f>1750/9.8</f>
        <v>178.57142857142856</v>
      </c>
      <c r="E51" s="23"/>
      <c r="F51" s="22">
        <f>1420/9.8</f>
        <v>144.89795918367346</v>
      </c>
      <c r="G51" s="22">
        <f>1670/9.8</f>
        <v>170.40816326530611</v>
      </c>
      <c r="H51" s="22">
        <f>1910/9.8</f>
        <v>194.89795918367346</v>
      </c>
      <c r="I51" s="22">
        <f>2010/9.8</f>
        <v>205.1020408163265</v>
      </c>
      <c r="J51" s="22">
        <f>2210/9.8</f>
        <v>225.51020408163265</v>
      </c>
      <c r="K51" s="24">
        <f>1960/9.8</f>
        <v>199.99999999999997</v>
      </c>
    </row>
    <row r="52" spans="2:11" ht="13.5">
      <c r="B52" s="17">
        <v>1.2</v>
      </c>
      <c r="C52" s="18">
        <f>1450/9.8</f>
        <v>147.95918367346937</v>
      </c>
      <c r="D52" s="18">
        <f>1750/9.8</f>
        <v>178.57142857142856</v>
      </c>
      <c r="E52" s="19"/>
      <c r="F52" s="18">
        <f>1420/9.8</f>
        <v>144.89795918367346</v>
      </c>
      <c r="G52" s="18">
        <f>1670/9.8</f>
        <v>170.40816326530611</v>
      </c>
      <c r="H52" s="18">
        <f>1910/9.8</f>
        <v>194.89795918367346</v>
      </c>
      <c r="I52" s="18">
        <f>2010/9.8</f>
        <v>205.1020408163265</v>
      </c>
      <c r="J52" s="18">
        <f>2210/9.8</f>
        <v>225.51020408163265</v>
      </c>
      <c r="K52" s="20">
        <f>1960/9.8</f>
        <v>199.99999999999997</v>
      </c>
    </row>
    <row r="53" spans="2:11" ht="13.5">
      <c r="B53" s="21">
        <v>1.3</v>
      </c>
      <c r="C53" s="22">
        <f>1450/9.8</f>
        <v>147.95918367346937</v>
      </c>
      <c r="D53" s="22">
        <f>1750/9.8</f>
        <v>178.57142857142856</v>
      </c>
      <c r="E53" s="25"/>
      <c r="F53" s="22">
        <f>1370/9.8</f>
        <v>139.79591836734693</v>
      </c>
      <c r="G53" s="22">
        <f>1620/9.8</f>
        <v>165.30612244897958</v>
      </c>
      <c r="H53" s="22">
        <f>1860/9.8</f>
        <v>189.79591836734693</v>
      </c>
      <c r="I53" s="22">
        <f>1960/9.8</f>
        <v>199.99999999999997</v>
      </c>
      <c r="J53" s="22">
        <f>2160/9.8</f>
        <v>220.40816326530611</v>
      </c>
      <c r="K53" s="24">
        <f>1910/9.8</f>
        <v>194.89795918367346</v>
      </c>
    </row>
    <row r="54" spans="2:11" ht="13.5">
      <c r="B54" s="17">
        <v>1.4</v>
      </c>
      <c r="C54" s="18">
        <f>1450/9.8</f>
        <v>147.95918367346937</v>
      </c>
      <c r="D54" s="18">
        <f>1750/9.8</f>
        <v>178.57142857142856</v>
      </c>
      <c r="E54" s="19"/>
      <c r="F54" s="18">
        <f>1370/9.8</f>
        <v>139.79591836734693</v>
      </c>
      <c r="G54" s="18">
        <f>1620/9.8</f>
        <v>165.30612244897958</v>
      </c>
      <c r="H54" s="18">
        <f>1860/9.8</f>
        <v>189.79591836734693</v>
      </c>
      <c r="I54" s="18">
        <f>1960/9.8</f>
        <v>199.99999999999997</v>
      </c>
      <c r="J54" s="18">
        <f>2160/9.8</f>
        <v>220.40816326530611</v>
      </c>
      <c r="K54" s="20">
        <f>1910/9.8</f>
        <v>194.89795918367346</v>
      </c>
    </row>
    <row r="55" spans="2:11" ht="13.5">
      <c r="B55" s="21">
        <v>1.5</v>
      </c>
      <c r="C55" s="22">
        <f aca="true" t="shared" si="4" ref="C55:C60">1400/9.8</f>
        <v>142.85714285714283</v>
      </c>
      <c r="D55" s="22">
        <f aca="true" t="shared" si="5" ref="D55:D60">1650/9.8</f>
        <v>168.3673469387755</v>
      </c>
      <c r="E55" s="25"/>
      <c r="F55" s="22">
        <f>1320/9.8</f>
        <v>134.6938775510204</v>
      </c>
      <c r="G55" s="22">
        <f>1570/9.8</f>
        <v>160.20408163265304</v>
      </c>
      <c r="H55" s="22">
        <f>1810/9.8</f>
        <v>184.6938775510204</v>
      </c>
      <c r="I55" s="22">
        <f>1910/9.8</f>
        <v>194.89795918367346</v>
      </c>
      <c r="J55" s="22">
        <f>2110/9.8</f>
        <v>215.30612244897958</v>
      </c>
      <c r="K55" s="24">
        <f>1860/9.8</f>
        <v>189.79591836734693</v>
      </c>
    </row>
    <row r="56" spans="2:11" ht="13.5">
      <c r="B56" s="17">
        <v>1.6</v>
      </c>
      <c r="C56" s="18">
        <f t="shared" si="4"/>
        <v>142.85714285714283</v>
      </c>
      <c r="D56" s="18">
        <f t="shared" si="5"/>
        <v>168.3673469387755</v>
      </c>
      <c r="E56" s="19"/>
      <c r="F56" s="18">
        <f>1320/9.8</f>
        <v>134.6938775510204</v>
      </c>
      <c r="G56" s="18">
        <f>1570/9.8</f>
        <v>160.20408163265304</v>
      </c>
      <c r="H56" s="18">
        <f>1810/9.8</f>
        <v>184.6938775510204</v>
      </c>
      <c r="I56" s="18">
        <f>1910/9.8</f>
        <v>194.89795918367346</v>
      </c>
      <c r="J56" s="18">
        <f>2110/9.8</f>
        <v>215.30612244897958</v>
      </c>
      <c r="K56" s="20">
        <f>1860/9.8</f>
        <v>189.79591836734693</v>
      </c>
    </row>
    <row r="57" spans="2:11" ht="13.5">
      <c r="B57" s="21">
        <v>1.7</v>
      </c>
      <c r="C57" s="22">
        <f t="shared" si="4"/>
        <v>142.85714285714283</v>
      </c>
      <c r="D57" s="22">
        <f t="shared" si="5"/>
        <v>168.3673469387755</v>
      </c>
      <c r="E57" s="25"/>
      <c r="F57" s="22">
        <f>1270/9.8</f>
        <v>129.59183673469386</v>
      </c>
      <c r="G57" s="22">
        <f>1520/9.8</f>
        <v>155.1020408163265</v>
      </c>
      <c r="H57" s="22">
        <f>1770/9.8</f>
        <v>180.61224489795916</v>
      </c>
      <c r="I57" s="22">
        <f>1860/9.8</f>
        <v>189.79591836734693</v>
      </c>
      <c r="J57" s="22">
        <f>2060/9.8</f>
        <v>210.20408163265304</v>
      </c>
      <c r="K57" s="24">
        <f>1810/9.8</f>
        <v>184.6938775510204</v>
      </c>
    </row>
    <row r="58" spans="2:11" ht="13.5">
      <c r="B58" s="17">
        <v>1.8</v>
      </c>
      <c r="C58" s="18">
        <f t="shared" si="4"/>
        <v>142.85714285714283</v>
      </c>
      <c r="D58" s="18">
        <f t="shared" si="5"/>
        <v>168.3673469387755</v>
      </c>
      <c r="E58" s="19"/>
      <c r="F58" s="18">
        <f>1270/9.8</f>
        <v>129.59183673469386</v>
      </c>
      <c r="G58" s="18">
        <f>1520/9.8</f>
        <v>155.1020408163265</v>
      </c>
      <c r="H58" s="18">
        <f>1770/9.8</f>
        <v>180.61224489795916</v>
      </c>
      <c r="I58" s="18">
        <f>1860/9.8</f>
        <v>189.79591836734693</v>
      </c>
      <c r="J58" s="18">
        <f>2060/9.8</f>
        <v>210.20408163265304</v>
      </c>
      <c r="K58" s="20">
        <f>1810/9.8</f>
        <v>184.6938775510204</v>
      </c>
    </row>
    <row r="59" spans="2:11" ht="13.5">
      <c r="B59" s="21">
        <v>1.9</v>
      </c>
      <c r="C59" s="22">
        <f t="shared" si="4"/>
        <v>142.85714285714283</v>
      </c>
      <c r="D59" s="22">
        <f t="shared" si="5"/>
        <v>168.3673469387755</v>
      </c>
      <c r="E59" s="25"/>
      <c r="F59" s="22">
        <f>1270/9.8</f>
        <v>129.59183673469386</v>
      </c>
      <c r="G59" s="22">
        <f>1470/9.8</f>
        <v>150</v>
      </c>
      <c r="H59" s="22">
        <f>1720/9.8</f>
        <v>175.51020408163265</v>
      </c>
      <c r="I59" s="22">
        <f>1810/9.8</f>
        <v>184.6938775510204</v>
      </c>
      <c r="J59" s="22">
        <f>2010/9.8</f>
        <v>205.1020408163265</v>
      </c>
      <c r="K59" s="24">
        <f>1770/9.8</f>
        <v>180.61224489795916</v>
      </c>
    </row>
    <row r="60" spans="2:11" ht="13.5">
      <c r="B60" s="17">
        <v>2</v>
      </c>
      <c r="C60" s="18">
        <f t="shared" si="4"/>
        <v>142.85714285714283</v>
      </c>
      <c r="D60" s="18">
        <f t="shared" si="5"/>
        <v>168.3673469387755</v>
      </c>
      <c r="E60" s="19"/>
      <c r="F60" s="18">
        <f>1270/9.8</f>
        <v>129.59183673469386</v>
      </c>
      <c r="G60" s="18">
        <f>1470/9.8</f>
        <v>150</v>
      </c>
      <c r="H60" s="18">
        <f>1720/9.8</f>
        <v>175.51020408163265</v>
      </c>
      <c r="I60" s="18">
        <f>1810/9.8</f>
        <v>184.6938775510204</v>
      </c>
      <c r="J60" s="18">
        <f>2010/9.8</f>
        <v>205.1020408163265</v>
      </c>
      <c r="K60" s="20">
        <f>1770/9.8</f>
        <v>180.61224489795916</v>
      </c>
    </row>
    <row r="61" spans="2:11" ht="13.5">
      <c r="B61" s="17">
        <v>2.3</v>
      </c>
      <c r="C61" s="18">
        <f>1320/9.8</f>
        <v>134.6938775510204</v>
      </c>
      <c r="D61" s="18">
        <f>1550/9.8</f>
        <v>158.16326530612244</v>
      </c>
      <c r="E61" s="19"/>
      <c r="F61" s="18">
        <f>1230/9.8</f>
        <v>125.51020408163265</v>
      </c>
      <c r="G61" s="18">
        <f>1420/9.8</f>
        <v>144.89795918367346</v>
      </c>
      <c r="H61" s="18">
        <f>1670/9.8</f>
        <v>170.40816326530611</v>
      </c>
      <c r="I61" s="18">
        <f>1770/9.8</f>
        <v>180.61224489795916</v>
      </c>
      <c r="J61" s="18">
        <f>1960/9.8</f>
        <v>199.99999999999997</v>
      </c>
      <c r="K61" s="20">
        <f>1720/9.8</f>
        <v>175.51020408163265</v>
      </c>
    </row>
    <row r="62" spans="2:11" ht="13.5">
      <c r="B62" s="17">
        <v>2.6</v>
      </c>
      <c r="C62" s="18">
        <f>1320/9.8</f>
        <v>134.6938775510204</v>
      </c>
      <c r="D62" s="18">
        <f>1550/9.8</f>
        <v>158.16326530612244</v>
      </c>
      <c r="E62" s="19"/>
      <c r="F62" s="18">
        <f>1230/9.8</f>
        <v>125.51020408163265</v>
      </c>
      <c r="G62" s="18">
        <f>1420/9.8</f>
        <v>144.89795918367346</v>
      </c>
      <c r="H62" s="18">
        <f>1670/9.8</f>
        <v>170.40816326530611</v>
      </c>
      <c r="I62" s="18">
        <f>1770/9.8</f>
        <v>180.61224489795916</v>
      </c>
      <c r="J62" s="18">
        <f>1960/9.8</f>
        <v>199.99999999999997</v>
      </c>
      <c r="K62" s="20">
        <f>1720/9.8</f>
        <v>175.51020408163265</v>
      </c>
    </row>
    <row r="63" spans="2:11" ht="13.5">
      <c r="B63" s="17">
        <v>2.9</v>
      </c>
      <c r="C63" s="18">
        <f>1230/9.8</f>
        <v>125.51020408163265</v>
      </c>
      <c r="D63" s="18">
        <f>1450/9.8</f>
        <v>147.95918367346937</v>
      </c>
      <c r="E63" s="19"/>
      <c r="F63" s="18">
        <f>1180/9.8</f>
        <v>120.40816326530611</v>
      </c>
      <c r="G63" s="18">
        <f>1370/9.8</f>
        <v>139.79591836734693</v>
      </c>
      <c r="H63" s="18">
        <f>1620/9.8</f>
        <v>165.30612244897958</v>
      </c>
      <c r="I63" s="18">
        <f>1720/9.8</f>
        <v>175.51020408163265</v>
      </c>
      <c r="J63" s="18">
        <f>1910/9.8</f>
        <v>194.89795918367346</v>
      </c>
      <c r="K63" s="20">
        <f>1720/9.8</f>
        <v>175.51020408163265</v>
      </c>
    </row>
    <row r="64" spans="2:11" ht="13.5">
      <c r="B64" s="17">
        <v>3.2</v>
      </c>
      <c r="C64" s="18">
        <f>1230/9.8</f>
        <v>125.51020408163265</v>
      </c>
      <c r="D64" s="18">
        <f>1450/9.8</f>
        <v>147.95918367346937</v>
      </c>
      <c r="E64" s="19"/>
      <c r="F64" s="18">
        <f>1180/9.8</f>
        <v>120.40816326530611</v>
      </c>
      <c r="G64" s="18">
        <f>1370/9.8</f>
        <v>139.79591836734693</v>
      </c>
      <c r="H64" s="18">
        <f>1570/9.8</f>
        <v>160.20408163265304</v>
      </c>
      <c r="I64" s="18">
        <f>1670/9.8</f>
        <v>170.40816326530611</v>
      </c>
      <c r="J64" s="18">
        <f>1860/9.8</f>
        <v>189.79591836734693</v>
      </c>
      <c r="K64" s="20">
        <f>1670/9.8</f>
        <v>170.40816326530611</v>
      </c>
    </row>
    <row r="65" spans="2:11" ht="13.5">
      <c r="B65" s="17">
        <v>3.5</v>
      </c>
      <c r="C65" s="18">
        <f>1230/9.8</f>
        <v>125.51020408163265</v>
      </c>
      <c r="D65" s="18">
        <f>1450/9.8</f>
        <v>147.95918367346937</v>
      </c>
      <c r="E65" s="19"/>
      <c r="F65" s="18">
        <f>1180/9.8</f>
        <v>120.40816326530611</v>
      </c>
      <c r="G65" s="18">
        <f>1370/9.8</f>
        <v>139.79591836734693</v>
      </c>
      <c r="H65" s="18">
        <f>1570/9.8</f>
        <v>160.20408163265304</v>
      </c>
      <c r="I65" s="18">
        <f>1670/9.8</f>
        <v>170.40816326530611</v>
      </c>
      <c r="J65" s="18">
        <f>1810/9.8</f>
        <v>184.6938775510204</v>
      </c>
      <c r="K65" s="20">
        <f>1670/9.8</f>
        <v>170.40816326530611</v>
      </c>
    </row>
    <row r="66" spans="2:11" ht="13.5">
      <c r="B66" s="17">
        <v>4</v>
      </c>
      <c r="C66" s="18">
        <f>1230/9.8</f>
        <v>125.51020408163265</v>
      </c>
      <c r="D66" s="18">
        <f>1450/9.8</f>
        <v>147.95918367346937</v>
      </c>
      <c r="E66" s="19"/>
      <c r="F66" s="18">
        <f>1180/9.8</f>
        <v>120.40816326530611</v>
      </c>
      <c r="G66" s="18">
        <f>1370/9.8</f>
        <v>139.79591836734693</v>
      </c>
      <c r="H66" s="18">
        <f>1570/9.8</f>
        <v>160.20408163265304</v>
      </c>
      <c r="I66" s="18">
        <f>1670/9.8</f>
        <v>170.40816326530611</v>
      </c>
      <c r="J66" s="18">
        <f>1810/9.8</f>
        <v>184.6938775510204</v>
      </c>
      <c r="K66" s="20">
        <f>1670/9.8</f>
        <v>170.40816326530611</v>
      </c>
    </row>
    <row r="67" spans="2:11" ht="13.5">
      <c r="B67" s="17">
        <v>4.5</v>
      </c>
      <c r="C67" s="18">
        <f>1100/9.8</f>
        <v>112.24489795918366</v>
      </c>
      <c r="D67" s="18">
        <f>1350/9.8</f>
        <v>137.75510204081633</v>
      </c>
      <c r="E67" s="19"/>
      <c r="F67" s="18">
        <f>1130/9.8</f>
        <v>115.30612244897958</v>
      </c>
      <c r="G67" s="18">
        <f>1320/9.8</f>
        <v>134.6938775510204</v>
      </c>
      <c r="H67" s="18">
        <f>1520/9.8</f>
        <v>155.1020408163265</v>
      </c>
      <c r="I67" s="18">
        <f>1620/9.8</f>
        <v>165.30612244897958</v>
      </c>
      <c r="J67" s="18">
        <f>1770/9.8</f>
        <v>180.61224489795916</v>
      </c>
      <c r="K67" s="20">
        <f>1620/9.8</f>
        <v>165.30612244897958</v>
      </c>
    </row>
    <row r="68" spans="2:11" ht="13.5">
      <c r="B68" s="17">
        <v>5</v>
      </c>
      <c r="C68" s="18">
        <f>1100/9.8</f>
        <v>112.24489795918366</v>
      </c>
      <c r="D68" s="18">
        <f>1350/9.8</f>
        <v>137.75510204081633</v>
      </c>
      <c r="E68" s="19"/>
      <c r="F68" s="18">
        <f>1130/9.8</f>
        <v>115.30612244897958</v>
      </c>
      <c r="G68" s="18">
        <f>1320/9.8</f>
        <v>134.6938775510204</v>
      </c>
      <c r="H68" s="18">
        <f>1520/9.8</f>
        <v>155.1020408163265</v>
      </c>
      <c r="I68" s="18">
        <f>1620/9.8</f>
        <v>165.30612244897958</v>
      </c>
      <c r="J68" s="18">
        <f>1770/9.8</f>
        <v>180.61224489795916</v>
      </c>
      <c r="K68" s="20">
        <f>1620/9.8</f>
        <v>165.30612244897958</v>
      </c>
    </row>
    <row r="69" spans="2:11" ht="13.5">
      <c r="B69" s="17">
        <v>5.5</v>
      </c>
      <c r="C69" s="18">
        <f>1100/9.8</f>
        <v>112.24489795918366</v>
      </c>
      <c r="D69" s="18">
        <f>1350/9.8</f>
        <v>137.75510204081633</v>
      </c>
      <c r="E69" s="19"/>
      <c r="F69" s="18">
        <f>1080/9.8</f>
        <v>110.20408163265306</v>
      </c>
      <c r="G69" s="18">
        <f>1270/9.8</f>
        <v>129.59183673469386</v>
      </c>
      <c r="H69" s="18">
        <f>1470/9.8</f>
        <v>150</v>
      </c>
      <c r="I69" s="18">
        <f>1570/9.8</f>
        <v>160.20408163265304</v>
      </c>
      <c r="J69" s="18">
        <f>1710/9.8</f>
        <v>174.48979591836732</v>
      </c>
      <c r="K69" s="20">
        <f>1570/9.8</f>
        <v>160.20408163265304</v>
      </c>
    </row>
    <row r="70" spans="2:11" ht="13.5">
      <c r="B70" s="17">
        <v>6</v>
      </c>
      <c r="C70" s="18">
        <f>1100/9.8</f>
        <v>112.24489795918366</v>
      </c>
      <c r="D70" s="18">
        <f>1350/9.8</f>
        <v>137.75510204081633</v>
      </c>
      <c r="E70" s="19"/>
      <c r="F70" s="18">
        <f>1030/9.8</f>
        <v>105.10204081632652</v>
      </c>
      <c r="G70" s="18">
        <f>1230/9.8</f>
        <v>125.51020408163265</v>
      </c>
      <c r="H70" s="18">
        <f>1420/9.8</f>
        <v>144.89795918367346</v>
      </c>
      <c r="I70" s="18">
        <f>1520/9.8</f>
        <v>155.1020408163265</v>
      </c>
      <c r="J70" s="18">
        <f>1670/9.8</f>
        <v>170.40816326530611</v>
      </c>
      <c r="K70" s="20">
        <f>1520/9.8</f>
        <v>155.1020408163265</v>
      </c>
    </row>
    <row r="71" spans="2:11" ht="13.5">
      <c r="B71" s="17">
        <v>6.5</v>
      </c>
      <c r="C71" s="18">
        <f>1000/9.8</f>
        <v>102.0408163265306</v>
      </c>
      <c r="D71" s="18">
        <f>1270/9.8</f>
        <v>129.59183673469386</v>
      </c>
      <c r="E71" s="19"/>
      <c r="F71" s="18">
        <f>1030/9.8</f>
        <v>105.10204081632652</v>
      </c>
      <c r="G71" s="18">
        <f>1230/9.8</f>
        <v>125.51020408163265</v>
      </c>
      <c r="H71" s="18">
        <f>1420/9.8</f>
        <v>144.89795918367346</v>
      </c>
      <c r="I71" s="18">
        <f>1520/9.8</f>
        <v>155.1020408163265</v>
      </c>
      <c r="J71" s="18">
        <f>1670/9.8</f>
        <v>170.40816326530611</v>
      </c>
      <c r="K71" s="20"/>
    </row>
    <row r="72" spans="2:11" ht="13.5">
      <c r="B72" s="17">
        <v>7</v>
      </c>
      <c r="C72" s="18">
        <f>1000/9.8</f>
        <v>102.0408163265306</v>
      </c>
      <c r="D72" s="18">
        <f>1270/9.8</f>
        <v>129.59183673469386</v>
      </c>
      <c r="E72" s="19"/>
      <c r="F72" s="18">
        <f>980/9.8</f>
        <v>99.99999999999999</v>
      </c>
      <c r="G72" s="18">
        <f>1180/9.8</f>
        <v>120.40816326530611</v>
      </c>
      <c r="H72" s="18">
        <f>1370/9.8</f>
        <v>139.79591836734693</v>
      </c>
      <c r="I72" s="18">
        <f>1470/9.8</f>
        <v>150</v>
      </c>
      <c r="J72" s="18">
        <f>1620/9.8</f>
        <v>165.30612244897958</v>
      </c>
      <c r="K72" s="20"/>
    </row>
    <row r="73" spans="2:11" ht="13.5">
      <c r="B73" s="17">
        <v>8</v>
      </c>
      <c r="C73" s="18">
        <f>1000/9.8</f>
        <v>102.0408163265306</v>
      </c>
      <c r="D73" s="18">
        <f>1270/9.8</f>
        <v>129.59183673469386</v>
      </c>
      <c r="E73" s="19"/>
      <c r="F73" s="18">
        <f>980/9.8</f>
        <v>99.99999999999999</v>
      </c>
      <c r="G73" s="18">
        <f>1180/9.8</f>
        <v>120.40816326530611</v>
      </c>
      <c r="H73" s="18">
        <f>1370/9.8</f>
        <v>139.79591836734693</v>
      </c>
      <c r="I73" s="18">
        <f>1470/9.8</f>
        <v>150</v>
      </c>
      <c r="J73" s="18"/>
      <c r="K73" s="20"/>
    </row>
    <row r="74" spans="2:11" ht="13.5">
      <c r="B74" s="17">
        <v>9</v>
      </c>
      <c r="C74" s="18"/>
      <c r="D74" s="18">
        <f>1130/9.8</f>
        <v>115.30612244897958</v>
      </c>
      <c r="E74" s="19"/>
      <c r="F74" s="18">
        <f>930/9.8</f>
        <v>94.89795918367346</v>
      </c>
      <c r="G74" s="18">
        <f>1470/9.8</f>
        <v>150</v>
      </c>
      <c r="H74" s="18">
        <f>1320/9.8</f>
        <v>134.6938775510204</v>
      </c>
      <c r="I74" s="18">
        <f>1420/9.8</f>
        <v>144.89795918367346</v>
      </c>
      <c r="J74" s="18"/>
      <c r="K74" s="20"/>
    </row>
    <row r="75" spans="2:11" ht="13.5">
      <c r="B75" s="17">
        <v>10</v>
      </c>
      <c r="C75" s="18"/>
      <c r="D75" s="18">
        <f>980/9.8</f>
        <v>99.99999999999999</v>
      </c>
      <c r="E75" s="19"/>
      <c r="F75" s="18">
        <f>930/9.8</f>
        <v>94.89795918367346</v>
      </c>
      <c r="G75" s="18">
        <f>1470/9.8</f>
        <v>150</v>
      </c>
      <c r="H75" s="18">
        <f>1320/9.8</f>
        <v>134.6938775510204</v>
      </c>
      <c r="I75" s="18">
        <f>1420/9.8</f>
        <v>144.89795918367346</v>
      </c>
      <c r="J75" s="18"/>
      <c r="K75" s="20"/>
    </row>
    <row r="76" spans="2:11" ht="13.5">
      <c r="B76" s="17">
        <v>11</v>
      </c>
      <c r="C76" s="18"/>
      <c r="D76" s="18">
        <f>880/9.8</f>
        <v>89.79591836734693</v>
      </c>
      <c r="E76" s="19"/>
      <c r="F76" s="18"/>
      <c r="G76" s="18">
        <f>1080/9.8</f>
        <v>110.20408163265306</v>
      </c>
      <c r="H76" s="18">
        <f>1270/9.8</f>
        <v>129.59183673469386</v>
      </c>
      <c r="I76" s="18"/>
      <c r="J76" s="18"/>
      <c r="K76" s="20"/>
    </row>
    <row r="77" spans="2:11" ht="13.5">
      <c r="B77" s="17">
        <v>12</v>
      </c>
      <c r="C77" s="18"/>
      <c r="D77" s="18"/>
      <c r="E77" s="19"/>
      <c r="F77" s="18"/>
      <c r="G77" s="18">
        <f>1080/9.8</f>
        <v>110.20408163265306</v>
      </c>
      <c r="H77" s="18">
        <f>1270/9.8</f>
        <v>129.59183673469386</v>
      </c>
      <c r="I77" s="18"/>
      <c r="J77" s="18"/>
      <c r="K77" s="20"/>
    </row>
    <row r="78" spans="2:11" ht="14.25" thickBot="1">
      <c r="B78" s="26">
        <v>13</v>
      </c>
      <c r="C78" s="27"/>
      <c r="D78" s="27"/>
      <c r="E78" s="28"/>
      <c r="F78" s="27"/>
      <c r="G78" s="27">
        <f>1030/9.8</f>
        <v>105.10204081632652</v>
      </c>
      <c r="H78" s="27">
        <f>1230/9.8</f>
        <v>125.51020408163265</v>
      </c>
      <c r="I78" s="27"/>
      <c r="J78" s="27"/>
      <c r="K78" s="29"/>
    </row>
    <row r="79" ht="14.25" thickTop="1"/>
  </sheetData>
  <sheetProtection password="CC6F" sheet="1" objects="1" scenarios="1"/>
  <dataValidations count="4">
    <dataValidation type="list" allowBlank="1" showInputMessage="1" showErrorMessage="1" sqref="B2">
      <formula1>$C$26:$K$26</formula1>
    </dataValidation>
    <dataValidation type="list" allowBlank="1" showInputMessage="1" showErrorMessage="1" sqref="B3">
      <formula1>$B$28:$B$73</formula1>
    </dataValidation>
    <dataValidation type="list" allowBlank="1" showInputMessage="1" showErrorMessage="1" sqref="B9">
      <formula1>$M$26:$N$26</formula1>
    </dataValidation>
    <dataValidation errorStyle="information" type="decimal" operator="greaterThan" allowBlank="1" showInputMessage="1" showErrorMessage="1" error="密着高さ以上に設定して下さい" sqref="B11">
      <formula1>B10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00390625" defaultRowHeight="13.5"/>
  <cols>
    <col min="1" max="1" width="25.625" style="6" customWidth="1"/>
    <col min="2" max="26" width="10.625" style="6" customWidth="1"/>
    <col min="27" max="16384" width="9.00390625" style="6" customWidth="1"/>
  </cols>
  <sheetData>
    <row r="1" ht="13.5">
      <c r="B1" s="1"/>
    </row>
    <row r="2" spans="1:2" ht="15.75" customHeight="1">
      <c r="A2" s="6" t="s">
        <v>71</v>
      </c>
      <c r="B2" s="44" t="s">
        <v>30</v>
      </c>
    </row>
    <row r="3" spans="1:2" ht="15.75" customHeight="1">
      <c r="A3" s="6" t="s">
        <v>72</v>
      </c>
      <c r="B3" s="44">
        <v>2.3</v>
      </c>
    </row>
    <row r="4" spans="1:2" ht="15.75" customHeight="1">
      <c r="A4" s="6" t="s">
        <v>73</v>
      </c>
      <c r="B4" s="6">
        <f>LOOKUP(B2,$C$24:$K$24,$C$25:$K$25)</f>
        <v>20000</v>
      </c>
    </row>
    <row r="5" spans="1:2" ht="15.75" customHeight="1">
      <c r="A5" s="6" t="s">
        <v>74</v>
      </c>
      <c r="B5" s="7">
        <f>VLOOKUP(B3,$B$26:$K$76,MATCH(B2,$C$24:$K$24,1)+1)</f>
        <v>199.99999999999997</v>
      </c>
    </row>
    <row r="6" spans="1:2" ht="15.75" customHeight="1">
      <c r="A6" s="6" t="s">
        <v>75</v>
      </c>
      <c r="B6" s="44">
        <v>14</v>
      </c>
    </row>
    <row r="7" spans="1:2" ht="15.75" customHeight="1">
      <c r="A7" s="6" t="s">
        <v>76</v>
      </c>
      <c r="B7" s="45">
        <v>5</v>
      </c>
    </row>
    <row r="8" spans="1:2" ht="15.75" customHeight="1">
      <c r="A8" s="6" t="s">
        <v>77</v>
      </c>
      <c r="B8" s="8">
        <f>B4*POWER(B3,4)/3667/B6/B7</f>
        <v>2.180381004324281</v>
      </c>
    </row>
    <row r="9" spans="1:2" ht="15.75" customHeight="1">
      <c r="A9" s="6" t="s">
        <v>78</v>
      </c>
      <c r="B9" s="5">
        <f>'軸間距離設定'!C53</f>
        <v>17</v>
      </c>
    </row>
    <row r="10" spans="1:2" ht="15.75" customHeight="1">
      <c r="A10" s="6" t="s">
        <v>70</v>
      </c>
      <c r="B10" s="5">
        <v>57</v>
      </c>
    </row>
    <row r="11" spans="1:2" ht="15.75" customHeight="1">
      <c r="A11" s="6" t="s">
        <v>79</v>
      </c>
      <c r="B11" s="2">
        <f>B3*(B7+1)</f>
        <v>13.799999999999999</v>
      </c>
    </row>
    <row r="12" spans="1:2" ht="15.75" customHeight="1">
      <c r="A12" s="6" t="s">
        <v>80</v>
      </c>
      <c r="B12" s="2">
        <f>B3*(B7+1+B10/360)</f>
        <v>14.164166666666665</v>
      </c>
    </row>
    <row r="13" spans="1:2" ht="15.75" customHeight="1">
      <c r="A13" s="6" t="s">
        <v>81</v>
      </c>
      <c r="B13" s="8">
        <f>B8*B9</f>
        <v>37.06647707351278</v>
      </c>
    </row>
    <row r="14" spans="1:2" ht="15.75" customHeight="1">
      <c r="A14" s="6" t="s">
        <v>82</v>
      </c>
      <c r="B14" s="8">
        <f>B8*B10</f>
        <v>124.28171724648402</v>
      </c>
    </row>
    <row r="15" spans="1:2" ht="15.75" customHeight="1">
      <c r="A15" s="6" t="s">
        <v>83</v>
      </c>
      <c r="B15" s="9">
        <f>B4*B3*B9/360/B6/B7</f>
        <v>31.03174603174603</v>
      </c>
    </row>
    <row r="16" spans="1:2" ht="15.75" customHeight="1">
      <c r="A16" s="6" t="s">
        <v>84</v>
      </c>
      <c r="B16" s="9">
        <f>B4*B3*B10/360/B6/B7</f>
        <v>104.04761904761904</v>
      </c>
    </row>
    <row r="17" spans="1:2" ht="15.75" customHeight="1">
      <c r="A17" s="6" t="s">
        <v>85</v>
      </c>
      <c r="B17" s="9">
        <f>B16*(4*POWER((B6/B3),2)-B6/B3-1)/4/(B6/B3)/(B6/B3-1)</f>
        <v>118.54790612826325</v>
      </c>
    </row>
    <row r="18" spans="1:2" ht="15.75" customHeight="1">
      <c r="A18" s="6" t="s">
        <v>86</v>
      </c>
      <c r="B18" s="10">
        <f>B17/B5</f>
        <v>0.5927395306413163</v>
      </c>
    </row>
    <row r="19" spans="1:2" ht="15.75" customHeight="1">
      <c r="A19" s="6" t="s">
        <v>87</v>
      </c>
      <c r="B19" s="2">
        <f>B15/B16</f>
        <v>0.29824561403508776</v>
      </c>
    </row>
    <row r="20" spans="1:2" ht="15.75" customHeight="1">
      <c r="A20" s="6" t="s">
        <v>88</v>
      </c>
      <c r="B20" s="2">
        <f>B6-B3-(B10*B6/360/B7)</f>
        <v>11.256666666666666</v>
      </c>
    </row>
    <row r="23" ht="13.5" hidden="1"/>
    <row r="24" spans="2:11" ht="15" hidden="1" thickBot="1" thickTop="1">
      <c r="B24" s="11"/>
      <c r="C24" s="12" t="s">
        <v>89</v>
      </c>
      <c r="D24" s="12" t="s">
        <v>90</v>
      </c>
      <c r="E24" s="12" t="s">
        <v>91</v>
      </c>
      <c r="F24" s="12" t="s">
        <v>92</v>
      </c>
      <c r="G24" s="12" t="s">
        <v>93</v>
      </c>
      <c r="H24" s="12" t="s">
        <v>94</v>
      </c>
      <c r="I24" s="12" t="s">
        <v>95</v>
      </c>
      <c r="J24" s="12" t="s">
        <v>96</v>
      </c>
      <c r="K24" s="13" t="s">
        <v>97</v>
      </c>
    </row>
    <row r="25" spans="2:11" ht="15" hidden="1" thickBot="1" thickTop="1">
      <c r="B25" s="14" t="s">
        <v>29</v>
      </c>
      <c r="C25" s="15">
        <v>18000</v>
      </c>
      <c r="D25" s="15">
        <v>18000</v>
      </c>
      <c r="E25" s="15">
        <v>18000</v>
      </c>
      <c r="F25" s="15">
        <v>20000</v>
      </c>
      <c r="G25" s="15">
        <v>20000</v>
      </c>
      <c r="H25" s="15">
        <v>20000</v>
      </c>
      <c r="I25" s="15">
        <v>20000</v>
      </c>
      <c r="J25" s="15">
        <v>20000</v>
      </c>
      <c r="K25" s="16">
        <v>20000</v>
      </c>
    </row>
    <row r="26" spans="2:11" ht="14.25" hidden="1" thickTop="1">
      <c r="B26" s="17">
        <v>0.08</v>
      </c>
      <c r="C26" s="18">
        <f aca="true" t="shared" si="0" ref="C26:C33">1650/9.8</f>
        <v>168.3673469387755</v>
      </c>
      <c r="D26" s="18">
        <f aca="true" t="shared" si="1" ref="D26:D33">2150/9.8</f>
        <v>219.3877551020408</v>
      </c>
      <c r="E26" s="19"/>
      <c r="F26" s="18">
        <f>2110/9.8</f>
        <v>215.30612244897958</v>
      </c>
      <c r="G26" s="18">
        <f>2450/9.8</f>
        <v>249.99999999999997</v>
      </c>
      <c r="H26" s="18">
        <f>2790/9.8</f>
        <v>284.69387755102036</v>
      </c>
      <c r="I26" s="18">
        <f>2890/9.8</f>
        <v>294.89795918367344</v>
      </c>
      <c r="J26" s="18">
        <f>3190/9.8</f>
        <v>325.51020408163265</v>
      </c>
      <c r="K26" s="20"/>
    </row>
    <row r="27" spans="2:11" ht="13.5" hidden="1">
      <c r="B27" s="17">
        <v>0.09</v>
      </c>
      <c r="C27" s="18">
        <f t="shared" si="0"/>
        <v>168.3673469387755</v>
      </c>
      <c r="D27" s="18">
        <f t="shared" si="1"/>
        <v>219.3877551020408</v>
      </c>
      <c r="E27" s="19"/>
      <c r="F27" s="18">
        <f>2060/9.8</f>
        <v>210.20408163265304</v>
      </c>
      <c r="G27" s="18">
        <f>2400/9.8</f>
        <v>244.89795918367346</v>
      </c>
      <c r="H27" s="18">
        <f>2750/9.8</f>
        <v>280.61224489795916</v>
      </c>
      <c r="I27" s="18">
        <f>2840/9.8</f>
        <v>289.7959183673469</v>
      </c>
      <c r="J27" s="18">
        <f>3140/9.8</f>
        <v>320.4081632653061</v>
      </c>
      <c r="K27" s="20"/>
    </row>
    <row r="28" spans="2:11" ht="13.5" hidden="1">
      <c r="B28" s="17">
        <v>0.1</v>
      </c>
      <c r="C28" s="18">
        <f t="shared" si="0"/>
        <v>168.3673469387755</v>
      </c>
      <c r="D28" s="18">
        <f t="shared" si="1"/>
        <v>219.3877551020408</v>
      </c>
      <c r="E28" s="19"/>
      <c r="F28" s="18">
        <f>2010/9.8</f>
        <v>205.1020408163265</v>
      </c>
      <c r="G28" s="18">
        <f>2350/9.8</f>
        <v>239.79591836734693</v>
      </c>
      <c r="H28" s="18">
        <f>2700/9.8</f>
        <v>275.51020408163265</v>
      </c>
      <c r="I28" s="18">
        <f>2790/9.8</f>
        <v>284.69387755102036</v>
      </c>
      <c r="J28" s="18">
        <f>3090/9.8</f>
        <v>315.3061224489796</v>
      </c>
      <c r="K28" s="20"/>
    </row>
    <row r="29" spans="2:11" ht="13.5" hidden="1">
      <c r="B29" s="17">
        <v>0.12</v>
      </c>
      <c r="C29" s="18">
        <f t="shared" si="0"/>
        <v>168.3673469387755</v>
      </c>
      <c r="D29" s="18">
        <f t="shared" si="1"/>
        <v>219.3877551020408</v>
      </c>
      <c r="E29" s="19"/>
      <c r="F29" s="18">
        <f>1960/9.8</f>
        <v>199.99999999999997</v>
      </c>
      <c r="G29" s="18">
        <f>2300/9.8</f>
        <v>234.6938775510204</v>
      </c>
      <c r="H29" s="18">
        <f>2650/9.8</f>
        <v>270.4081632653061</v>
      </c>
      <c r="I29" s="18">
        <f>2750/9.8</f>
        <v>280.61224489795916</v>
      </c>
      <c r="J29" s="18">
        <f>3040/9.8</f>
        <v>310.204081632653</v>
      </c>
      <c r="K29" s="20"/>
    </row>
    <row r="30" spans="2:11" ht="13.5" hidden="1">
      <c r="B30" s="17">
        <v>0.14</v>
      </c>
      <c r="C30" s="18">
        <f t="shared" si="0"/>
        <v>168.3673469387755</v>
      </c>
      <c r="D30" s="18">
        <f t="shared" si="1"/>
        <v>219.3877551020408</v>
      </c>
      <c r="E30" s="19"/>
      <c r="F30" s="18">
        <f>1960/9.8</f>
        <v>199.99999999999997</v>
      </c>
      <c r="G30" s="18">
        <f>2260/9.8</f>
        <v>230.61224489795916</v>
      </c>
      <c r="H30" s="18">
        <f>2600/9.8</f>
        <v>265.3061224489796</v>
      </c>
      <c r="I30" s="18">
        <f>2700/9.8</f>
        <v>275.51020408163265</v>
      </c>
      <c r="J30" s="18">
        <f>2990/9.8</f>
        <v>305.1020408163265</v>
      </c>
      <c r="K30" s="20"/>
    </row>
    <row r="31" spans="2:11" ht="13.5" hidden="1">
      <c r="B31" s="17">
        <v>0.16</v>
      </c>
      <c r="C31" s="18">
        <f t="shared" si="0"/>
        <v>168.3673469387755</v>
      </c>
      <c r="D31" s="18">
        <f t="shared" si="1"/>
        <v>219.3877551020408</v>
      </c>
      <c r="E31" s="19"/>
      <c r="F31" s="18">
        <f>1910/9.8</f>
        <v>194.89795918367346</v>
      </c>
      <c r="G31" s="18">
        <f>2210/9.8</f>
        <v>225.51020408163265</v>
      </c>
      <c r="H31" s="18">
        <f>2550/9.8</f>
        <v>260.204081632653</v>
      </c>
      <c r="I31" s="18">
        <f>2650/9.8</f>
        <v>270.4081632653061</v>
      </c>
      <c r="J31" s="18">
        <f>2940/9.8</f>
        <v>300</v>
      </c>
      <c r="K31" s="20"/>
    </row>
    <row r="32" spans="2:11" ht="13.5" hidden="1">
      <c r="B32" s="17">
        <v>0.18</v>
      </c>
      <c r="C32" s="18">
        <f t="shared" si="0"/>
        <v>168.3673469387755</v>
      </c>
      <c r="D32" s="18">
        <f t="shared" si="1"/>
        <v>219.3877551020408</v>
      </c>
      <c r="E32" s="19"/>
      <c r="F32" s="18">
        <f>1910/9.8</f>
        <v>194.89795918367346</v>
      </c>
      <c r="G32" s="18">
        <f>2210/9.8</f>
        <v>225.51020408163265</v>
      </c>
      <c r="H32" s="18">
        <f>2500/9.8</f>
        <v>255.1020408163265</v>
      </c>
      <c r="I32" s="18">
        <f>2600/9.8</f>
        <v>265.3061224489796</v>
      </c>
      <c r="J32" s="18">
        <f>2890/9.8</f>
        <v>294.89795918367344</v>
      </c>
      <c r="K32" s="20"/>
    </row>
    <row r="33" spans="2:11" ht="13.5" hidden="1">
      <c r="B33" s="17">
        <v>0.2</v>
      </c>
      <c r="C33" s="18">
        <f t="shared" si="0"/>
        <v>168.3673469387755</v>
      </c>
      <c r="D33" s="18">
        <f t="shared" si="1"/>
        <v>219.3877551020408</v>
      </c>
      <c r="E33" s="19"/>
      <c r="F33" s="18">
        <f>1910/9.8</f>
        <v>194.89795918367346</v>
      </c>
      <c r="G33" s="18">
        <f>2160/9.8</f>
        <v>220.40816326530611</v>
      </c>
      <c r="H33" s="18">
        <f>2500/9.8</f>
        <v>255.1020408163265</v>
      </c>
      <c r="I33" s="18">
        <f>2600/9.8</f>
        <v>265.3061224489796</v>
      </c>
      <c r="J33" s="18">
        <f>2840/9.8</f>
        <v>289.7959183673469</v>
      </c>
      <c r="K33" s="20"/>
    </row>
    <row r="34" spans="2:11" ht="13.5" hidden="1">
      <c r="B34" s="17">
        <v>0.23</v>
      </c>
      <c r="C34" s="18">
        <f aca="true" t="shared" si="2" ref="C34:C43">1600/9.8</f>
        <v>163.26530612244898</v>
      </c>
      <c r="D34" s="18">
        <f aca="true" t="shared" si="3" ref="D34:D39">2050/9.8</f>
        <v>209.18367346938774</v>
      </c>
      <c r="E34" s="19"/>
      <c r="F34" s="18">
        <f>1860/9.8</f>
        <v>189.79591836734693</v>
      </c>
      <c r="G34" s="18">
        <f>2110/9.8</f>
        <v>215.30612244897958</v>
      </c>
      <c r="H34" s="18">
        <f>2450/9.8</f>
        <v>249.99999999999997</v>
      </c>
      <c r="I34" s="18">
        <f>2550/9.8</f>
        <v>260.204081632653</v>
      </c>
      <c r="J34" s="18">
        <f>2790/9.8</f>
        <v>284.69387755102036</v>
      </c>
      <c r="K34" s="20"/>
    </row>
    <row r="35" spans="2:11" ht="13.5" hidden="1">
      <c r="B35" s="17">
        <v>0.26</v>
      </c>
      <c r="C35" s="18">
        <f t="shared" si="2"/>
        <v>163.26530612244898</v>
      </c>
      <c r="D35" s="18">
        <f t="shared" si="3"/>
        <v>209.18367346938774</v>
      </c>
      <c r="E35" s="19"/>
      <c r="F35" s="18">
        <f>1810/9.8</f>
        <v>184.6938775510204</v>
      </c>
      <c r="G35" s="18">
        <f>2060/9.8</f>
        <v>210.20408163265304</v>
      </c>
      <c r="H35" s="18">
        <f>2400/9.8</f>
        <v>244.89795918367346</v>
      </c>
      <c r="I35" s="18">
        <f>2500/9.8</f>
        <v>255.1020408163265</v>
      </c>
      <c r="J35" s="18">
        <f>2750/9.8</f>
        <v>280.61224489795916</v>
      </c>
      <c r="K35" s="20"/>
    </row>
    <row r="36" spans="2:11" ht="13.5" hidden="1">
      <c r="B36" s="17">
        <v>0.29</v>
      </c>
      <c r="C36" s="18">
        <f t="shared" si="2"/>
        <v>163.26530612244898</v>
      </c>
      <c r="D36" s="18">
        <f t="shared" si="3"/>
        <v>209.18367346938774</v>
      </c>
      <c r="E36" s="19"/>
      <c r="F36" s="18">
        <f>1770/9.8</f>
        <v>180.61224489795916</v>
      </c>
      <c r="G36" s="18">
        <f>2010/9.8</f>
        <v>205.1020408163265</v>
      </c>
      <c r="H36" s="18">
        <f>2350/9.8</f>
        <v>239.79591836734693</v>
      </c>
      <c r="I36" s="18">
        <f>2450/9.8</f>
        <v>249.99999999999997</v>
      </c>
      <c r="J36" s="18">
        <f>2700/9.8</f>
        <v>275.51020408163265</v>
      </c>
      <c r="K36" s="20"/>
    </row>
    <row r="37" spans="2:11" ht="13.5" hidden="1">
      <c r="B37" s="17">
        <v>0.32</v>
      </c>
      <c r="C37" s="18">
        <f t="shared" si="2"/>
        <v>163.26530612244898</v>
      </c>
      <c r="D37" s="18">
        <f t="shared" si="3"/>
        <v>209.18367346938774</v>
      </c>
      <c r="E37" s="19"/>
      <c r="F37" s="18">
        <f>1720/9.8</f>
        <v>175.51020408163265</v>
      </c>
      <c r="G37" s="18">
        <f>2010/9.8</f>
        <v>205.1020408163265</v>
      </c>
      <c r="H37" s="18">
        <f>2300/9.8</f>
        <v>234.6938775510204</v>
      </c>
      <c r="I37" s="18">
        <f>2400/9.8</f>
        <v>244.89795918367346</v>
      </c>
      <c r="J37" s="18">
        <f>2650/9.8</f>
        <v>270.4081632653061</v>
      </c>
      <c r="K37" s="20"/>
    </row>
    <row r="38" spans="2:11" ht="13.5" hidden="1">
      <c r="B38" s="17">
        <v>0.35</v>
      </c>
      <c r="C38" s="18">
        <f t="shared" si="2"/>
        <v>163.26530612244898</v>
      </c>
      <c r="D38" s="18">
        <f t="shared" si="3"/>
        <v>209.18367346938774</v>
      </c>
      <c r="E38" s="19"/>
      <c r="F38" s="18">
        <f>1720/9.8</f>
        <v>175.51020408163265</v>
      </c>
      <c r="G38" s="18">
        <f>1960/9.8</f>
        <v>199.99999999999997</v>
      </c>
      <c r="H38" s="18">
        <f>2300/9.8</f>
        <v>234.6938775510204</v>
      </c>
      <c r="I38" s="18">
        <f>2400/9.8</f>
        <v>244.89795918367346</v>
      </c>
      <c r="J38" s="18">
        <f>2650/9.8</f>
        <v>270.4081632653061</v>
      </c>
      <c r="K38" s="20"/>
    </row>
    <row r="39" spans="2:11" ht="13.5" hidden="1">
      <c r="B39" s="17">
        <v>0.4</v>
      </c>
      <c r="C39" s="18">
        <f t="shared" si="2"/>
        <v>163.26530612244898</v>
      </c>
      <c r="D39" s="18">
        <f t="shared" si="3"/>
        <v>209.18367346938774</v>
      </c>
      <c r="E39" s="19"/>
      <c r="F39" s="18">
        <f>1670/9.8</f>
        <v>170.40816326530611</v>
      </c>
      <c r="G39" s="18">
        <f>1910/9.8</f>
        <v>194.89795918367346</v>
      </c>
      <c r="H39" s="18">
        <f>2260/9.8</f>
        <v>230.61224489795916</v>
      </c>
      <c r="I39" s="18">
        <f>2350/9.8</f>
        <v>239.79591836734693</v>
      </c>
      <c r="J39" s="18">
        <f>2600/9.8</f>
        <v>265.3061224489796</v>
      </c>
      <c r="K39" s="20"/>
    </row>
    <row r="40" spans="2:11" ht="13.5" hidden="1">
      <c r="B40" s="17">
        <v>0.45</v>
      </c>
      <c r="C40" s="18">
        <f t="shared" si="2"/>
        <v>163.26530612244898</v>
      </c>
      <c r="D40" s="18">
        <f>1950/9.8</f>
        <v>198.97959183673467</v>
      </c>
      <c r="E40" s="19"/>
      <c r="F40" s="18">
        <f>1620/9.8</f>
        <v>165.30612244897958</v>
      </c>
      <c r="G40" s="18">
        <f>1910/9.8</f>
        <v>194.89795918367346</v>
      </c>
      <c r="H40" s="18">
        <f>2210/9.8</f>
        <v>225.51020408163265</v>
      </c>
      <c r="I40" s="18">
        <f>2300/9.8</f>
        <v>234.6938775510204</v>
      </c>
      <c r="J40" s="18">
        <f>2550/9.8</f>
        <v>260.204081632653</v>
      </c>
      <c r="K40" s="20"/>
    </row>
    <row r="41" spans="2:11" ht="13.5" hidden="1">
      <c r="B41" s="17">
        <v>0.5</v>
      </c>
      <c r="C41" s="18">
        <f t="shared" si="2"/>
        <v>163.26530612244898</v>
      </c>
      <c r="D41" s="18">
        <f>1950/9.8</f>
        <v>198.97959183673467</v>
      </c>
      <c r="E41" s="19"/>
      <c r="F41" s="18">
        <f>1620/9.8</f>
        <v>165.30612244897958</v>
      </c>
      <c r="G41" s="18">
        <f>1910/9.8</f>
        <v>194.89795918367346</v>
      </c>
      <c r="H41" s="18">
        <f>2210/9.8</f>
        <v>225.51020408163265</v>
      </c>
      <c r="I41" s="18">
        <f>2300/9.8</f>
        <v>234.6938775510204</v>
      </c>
      <c r="J41" s="18">
        <f>2550/9.8</f>
        <v>260.204081632653</v>
      </c>
      <c r="K41" s="20"/>
    </row>
    <row r="42" spans="2:11" ht="13.5" hidden="1">
      <c r="B42" s="17">
        <v>0.55</v>
      </c>
      <c r="C42" s="18">
        <f t="shared" si="2"/>
        <v>163.26530612244898</v>
      </c>
      <c r="D42" s="18">
        <f>1950/9.8</f>
        <v>198.97959183673467</v>
      </c>
      <c r="E42" s="19"/>
      <c r="F42" s="18">
        <f>1570/9.8</f>
        <v>160.20408163265304</v>
      </c>
      <c r="G42" s="18">
        <f>1860/9.8</f>
        <v>189.79591836734693</v>
      </c>
      <c r="H42" s="18">
        <f>2160/9.8</f>
        <v>220.40816326530611</v>
      </c>
      <c r="I42" s="18">
        <f>2260/9.8</f>
        <v>230.61224489795916</v>
      </c>
      <c r="J42" s="18">
        <f>2500/9.8</f>
        <v>255.1020408163265</v>
      </c>
      <c r="K42" s="20"/>
    </row>
    <row r="43" spans="2:11" ht="13.5" hidden="1">
      <c r="B43" s="17">
        <v>0.6</v>
      </c>
      <c r="C43" s="18">
        <f t="shared" si="2"/>
        <v>163.26530612244898</v>
      </c>
      <c r="D43" s="18">
        <f>1950/9.8</f>
        <v>198.97959183673467</v>
      </c>
      <c r="E43" s="19"/>
      <c r="F43" s="18">
        <f>1570/9.8</f>
        <v>160.20408163265304</v>
      </c>
      <c r="G43" s="18">
        <f>1810/9.8</f>
        <v>184.6938775510204</v>
      </c>
      <c r="H43" s="18">
        <f>2110/9.8</f>
        <v>215.30612244897958</v>
      </c>
      <c r="I43" s="18">
        <f>2210/9.8</f>
        <v>225.51020408163265</v>
      </c>
      <c r="J43" s="18">
        <f>2450/9.8</f>
        <v>249.99999999999997</v>
      </c>
      <c r="K43" s="20"/>
    </row>
    <row r="44" spans="2:11" ht="13.5" hidden="1">
      <c r="B44" s="17">
        <v>0.65</v>
      </c>
      <c r="C44" s="18">
        <f>1530/9.8</f>
        <v>156.12244897959184</v>
      </c>
      <c r="D44" s="18">
        <f>1850/9.8</f>
        <v>188.77551020408163</v>
      </c>
      <c r="E44" s="19"/>
      <c r="F44" s="18">
        <f>1570/9.8</f>
        <v>160.20408163265304</v>
      </c>
      <c r="G44" s="18">
        <f>1810/9.8</f>
        <v>184.6938775510204</v>
      </c>
      <c r="H44" s="18">
        <f>2110/9.8</f>
        <v>215.30612244897958</v>
      </c>
      <c r="I44" s="18">
        <f>2210/9.8</f>
        <v>225.51020408163265</v>
      </c>
      <c r="J44" s="18">
        <f>2450/9.8</f>
        <v>249.99999999999997</v>
      </c>
      <c r="K44" s="20"/>
    </row>
    <row r="45" spans="2:11" ht="13.5" hidden="1">
      <c r="B45" s="17">
        <v>0.7</v>
      </c>
      <c r="C45" s="18">
        <f>1530/9.8</f>
        <v>156.12244897959184</v>
      </c>
      <c r="D45" s="18">
        <f>1850/9.8</f>
        <v>188.77551020408163</v>
      </c>
      <c r="E45" s="19"/>
      <c r="F45" s="18">
        <f>1520/9.8</f>
        <v>155.1020408163265</v>
      </c>
      <c r="G45" s="18">
        <f>1770/9.8</f>
        <v>180.61224489795916</v>
      </c>
      <c r="H45" s="18">
        <f>2060/9.8</f>
        <v>210.20408163265304</v>
      </c>
      <c r="I45" s="18">
        <f>2160/9.8</f>
        <v>220.40816326530611</v>
      </c>
      <c r="J45" s="18">
        <f>2400/9.8</f>
        <v>244.89795918367346</v>
      </c>
      <c r="K45" s="20"/>
    </row>
    <row r="46" spans="2:11" ht="13.5" hidden="1">
      <c r="B46" s="17">
        <v>0.8</v>
      </c>
      <c r="C46" s="18">
        <f>1530/9.8</f>
        <v>156.12244897959184</v>
      </c>
      <c r="D46" s="18">
        <f>1850/9.8</f>
        <v>188.77551020408163</v>
      </c>
      <c r="E46" s="19"/>
      <c r="F46" s="18">
        <f>1520/9.8</f>
        <v>155.1020408163265</v>
      </c>
      <c r="G46" s="18">
        <f>1770/9.8</f>
        <v>180.61224489795916</v>
      </c>
      <c r="H46" s="18">
        <f>2010/9.8</f>
        <v>205.1020408163265</v>
      </c>
      <c r="I46" s="18">
        <f>2110/9.8</f>
        <v>215.30612244897958</v>
      </c>
      <c r="J46" s="18">
        <f>2350/9.8</f>
        <v>239.79591836734693</v>
      </c>
      <c r="K46" s="20"/>
    </row>
    <row r="47" spans="2:11" ht="13.5" hidden="1">
      <c r="B47" s="17">
        <v>0.9</v>
      </c>
      <c r="C47" s="18">
        <f>1530/9.8</f>
        <v>156.12244897959184</v>
      </c>
      <c r="D47" s="18">
        <f>1850/9.8</f>
        <v>188.77551020408163</v>
      </c>
      <c r="E47" s="19"/>
      <c r="F47" s="18">
        <f>1520/9.8</f>
        <v>155.1020408163265</v>
      </c>
      <c r="G47" s="18">
        <f>1770/9.8</f>
        <v>180.61224489795916</v>
      </c>
      <c r="H47" s="18">
        <f>2010/9.8</f>
        <v>205.1020408163265</v>
      </c>
      <c r="I47" s="18">
        <f>2110/9.8</f>
        <v>215.30612244897958</v>
      </c>
      <c r="J47" s="18">
        <f>2300/9.8</f>
        <v>234.6938775510204</v>
      </c>
      <c r="K47" s="20"/>
    </row>
    <row r="48" spans="2:11" ht="13.5" hidden="1">
      <c r="B48" s="17">
        <v>1</v>
      </c>
      <c r="C48" s="18">
        <f>1530/9.8</f>
        <v>156.12244897959184</v>
      </c>
      <c r="D48" s="18">
        <f>1850/9.8</f>
        <v>188.77551020408163</v>
      </c>
      <c r="E48" s="19"/>
      <c r="F48" s="18">
        <f>1470/9.8</f>
        <v>150</v>
      </c>
      <c r="G48" s="18">
        <f>1720/9.8</f>
        <v>175.51020408163265</v>
      </c>
      <c r="H48" s="18">
        <f>1960/9.8</f>
        <v>199.99999999999997</v>
      </c>
      <c r="I48" s="18">
        <f>2060/9.8</f>
        <v>210.20408163265304</v>
      </c>
      <c r="J48" s="18">
        <f>2260/9.8</f>
        <v>230.61224489795916</v>
      </c>
      <c r="K48" s="20">
        <f>2010/9.8</f>
        <v>205.1020408163265</v>
      </c>
    </row>
    <row r="49" spans="2:11" ht="13.5" hidden="1">
      <c r="B49" s="21">
        <v>1.1</v>
      </c>
      <c r="C49" s="22">
        <f>1450/9.8</f>
        <v>147.95918367346937</v>
      </c>
      <c r="D49" s="22">
        <f>1750/9.8</f>
        <v>178.57142857142856</v>
      </c>
      <c r="E49" s="23"/>
      <c r="F49" s="22">
        <f>1420/9.8</f>
        <v>144.89795918367346</v>
      </c>
      <c r="G49" s="22">
        <f>1670/9.8</f>
        <v>170.40816326530611</v>
      </c>
      <c r="H49" s="22">
        <f>1910/9.8</f>
        <v>194.89795918367346</v>
      </c>
      <c r="I49" s="22">
        <f>2010/9.8</f>
        <v>205.1020408163265</v>
      </c>
      <c r="J49" s="22">
        <f>2210/9.8</f>
        <v>225.51020408163265</v>
      </c>
      <c r="K49" s="24">
        <f>1960/9.8</f>
        <v>199.99999999999997</v>
      </c>
    </row>
    <row r="50" spans="2:11" ht="13.5" hidden="1">
      <c r="B50" s="17">
        <v>1.2</v>
      </c>
      <c r="C50" s="18">
        <f>1450/9.8</f>
        <v>147.95918367346937</v>
      </c>
      <c r="D50" s="18">
        <f>1750/9.8</f>
        <v>178.57142857142856</v>
      </c>
      <c r="E50" s="19"/>
      <c r="F50" s="18">
        <f>1420/9.8</f>
        <v>144.89795918367346</v>
      </c>
      <c r="G50" s="18">
        <f>1670/9.8</f>
        <v>170.40816326530611</v>
      </c>
      <c r="H50" s="18">
        <f>1910/9.8</f>
        <v>194.89795918367346</v>
      </c>
      <c r="I50" s="18">
        <f>2010/9.8</f>
        <v>205.1020408163265</v>
      </c>
      <c r="J50" s="18">
        <f>2210/9.8</f>
        <v>225.51020408163265</v>
      </c>
      <c r="K50" s="20">
        <f>1960/9.8</f>
        <v>199.99999999999997</v>
      </c>
    </row>
    <row r="51" spans="2:11" ht="13.5" hidden="1">
      <c r="B51" s="21">
        <v>1.3</v>
      </c>
      <c r="C51" s="22">
        <f>1450/9.8</f>
        <v>147.95918367346937</v>
      </c>
      <c r="D51" s="22">
        <f>1750/9.8</f>
        <v>178.57142857142856</v>
      </c>
      <c r="E51" s="25"/>
      <c r="F51" s="22">
        <f>1370/9.8</f>
        <v>139.79591836734693</v>
      </c>
      <c r="G51" s="22">
        <f>1620/9.8</f>
        <v>165.30612244897958</v>
      </c>
      <c r="H51" s="22">
        <f>1860/9.8</f>
        <v>189.79591836734693</v>
      </c>
      <c r="I51" s="22">
        <f>1960/9.8</f>
        <v>199.99999999999997</v>
      </c>
      <c r="J51" s="22">
        <f>2160/9.8</f>
        <v>220.40816326530611</v>
      </c>
      <c r="K51" s="24">
        <f>1910/9.8</f>
        <v>194.89795918367346</v>
      </c>
    </row>
    <row r="52" spans="2:11" ht="13.5" hidden="1">
      <c r="B52" s="17">
        <v>1.4</v>
      </c>
      <c r="C52" s="18">
        <f>1450/9.8</f>
        <v>147.95918367346937</v>
      </c>
      <c r="D52" s="18">
        <f>1750/9.8</f>
        <v>178.57142857142856</v>
      </c>
      <c r="E52" s="19"/>
      <c r="F52" s="18">
        <f>1370/9.8</f>
        <v>139.79591836734693</v>
      </c>
      <c r="G52" s="18">
        <f>1620/9.8</f>
        <v>165.30612244897958</v>
      </c>
      <c r="H52" s="18">
        <f>1860/9.8</f>
        <v>189.79591836734693</v>
      </c>
      <c r="I52" s="18">
        <f>1960/9.8</f>
        <v>199.99999999999997</v>
      </c>
      <c r="J52" s="18">
        <f>2160/9.8</f>
        <v>220.40816326530611</v>
      </c>
      <c r="K52" s="20">
        <f>1910/9.8</f>
        <v>194.89795918367346</v>
      </c>
    </row>
    <row r="53" spans="2:11" ht="13.5" hidden="1">
      <c r="B53" s="21">
        <v>1.5</v>
      </c>
      <c r="C53" s="22">
        <f aca="true" t="shared" si="4" ref="C53:C58">1400/9.8</f>
        <v>142.85714285714283</v>
      </c>
      <c r="D53" s="22">
        <f aca="true" t="shared" si="5" ref="D53:D58">1650/9.8</f>
        <v>168.3673469387755</v>
      </c>
      <c r="E53" s="25"/>
      <c r="F53" s="22">
        <f>1320/9.8</f>
        <v>134.6938775510204</v>
      </c>
      <c r="G53" s="22">
        <f>1570/9.8</f>
        <v>160.20408163265304</v>
      </c>
      <c r="H53" s="22">
        <f>1810/9.8</f>
        <v>184.6938775510204</v>
      </c>
      <c r="I53" s="22">
        <f>1910/9.8</f>
        <v>194.89795918367346</v>
      </c>
      <c r="J53" s="22">
        <f>2110/9.8</f>
        <v>215.30612244897958</v>
      </c>
      <c r="K53" s="24">
        <f>1860/9.8</f>
        <v>189.79591836734693</v>
      </c>
    </row>
    <row r="54" spans="2:11" ht="13.5" hidden="1">
      <c r="B54" s="17">
        <v>1.6</v>
      </c>
      <c r="C54" s="18">
        <f t="shared" si="4"/>
        <v>142.85714285714283</v>
      </c>
      <c r="D54" s="18">
        <f t="shared" si="5"/>
        <v>168.3673469387755</v>
      </c>
      <c r="E54" s="19"/>
      <c r="F54" s="18">
        <f>1320/9.8</f>
        <v>134.6938775510204</v>
      </c>
      <c r="G54" s="18">
        <f>1570/9.8</f>
        <v>160.20408163265304</v>
      </c>
      <c r="H54" s="18">
        <f>1810/9.8</f>
        <v>184.6938775510204</v>
      </c>
      <c r="I54" s="18">
        <f>1910/9.8</f>
        <v>194.89795918367346</v>
      </c>
      <c r="J54" s="18">
        <f>2110/9.8</f>
        <v>215.30612244897958</v>
      </c>
      <c r="K54" s="20">
        <f>1860/9.8</f>
        <v>189.79591836734693</v>
      </c>
    </row>
    <row r="55" spans="2:11" ht="13.5" hidden="1">
      <c r="B55" s="21">
        <v>1.7</v>
      </c>
      <c r="C55" s="22">
        <f t="shared" si="4"/>
        <v>142.85714285714283</v>
      </c>
      <c r="D55" s="22">
        <f t="shared" si="5"/>
        <v>168.3673469387755</v>
      </c>
      <c r="E55" s="25"/>
      <c r="F55" s="22">
        <f>1270/9.8</f>
        <v>129.59183673469386</v>
      </c>
      <c r="G55" s="22">
        <f>1520/9.8</f>
        <v>155.1020408163265</v>
      </c>
      <c r="H55" s="22">
        <f>1770/9.8</f>
        <v>180.61224489795916</v>
      </c>
      <c r="I55" s="22">
        <f>1860/9.8</f>
        <v>189.79591836734693</v>
      </c>
      <c r="J55" s="22">
        <f>2060/9.8</f>
        <v>210.20408163265304</v>
      </c>
      <c r="K55" s="24">
        <f>1810/9.8</f>
        <v>184.6938775510204</v>
      </c>
    </row>
    <row r="56" spans="2:11" ht="13.5" hidden="1">
      <c r="B56" s="17">
        <v>1.8</v>
      </c>
      <c r="C56" s="18">
        <f t="shared" si="4"/>
        <v>142.85714285714283</v>
      </c>
      <c r="D56" s="18">
        <f t="shared" si="5"/>
        <v>168.3673469387755</v>
      </c>
      <c r="E56" s="19"/>
      <c r="F56" s="18">
        <f>1270/9.8</f>
        <v>129.59183673469386</v>
      </c>
      <c r="G56" s="18">
        <f>1520/9.8</f>
        <v>155.1020408163265</v>
      </c>
      <c r="H56" s="18">
        <f>1770/9.8</f>
        <v>180.61224489795916</v>
      </c>
      <c r="I56" s="18">
        <f>1860/9.8</f>
        <v>189.79591836734693</v>
      </c>
      <c r="J56" s="18">
        <f>2060/9.8</f>
        <v>210.20408163265304</v>
      </c>
      <c r="K56" s="20">
        <f>1810/9.8</f>
        <v>184.6938775510204</v>
      </c>
    </row>
    <row r="57" spans="2:11" ht="13.5" hidden="1">
      <c r="B57" s="21">
        <v>1.9</v>
      </c>
      <c r="C57" s="22">
        <f t="shared" si="4"/>
        <v>142.85714285714283</v>
      </c>
      <c r="D57" s="22">
        <f t="shared" si="5"/>
        <v>168.3673469387755</v>
      </c>
      <c r="E57" s="25"/>
      <c r="F57" s="22">
        <f>1270/9.8</f>
        <v>129.59183673469386</v>
      </c>
      <c r="G57" s="22">
        <f>1470/9.8</f>
        <v>150</v>
      </c>
      <c r="H57" s="22">
        <f>1720/9.8</f>
        <v>175.51020408163265</v>
      </c>
      <c r="I57" s="22">
        <f>1810/9.8</f>
        <v>184.6938775510204</v>
      </c>
      <c r="J57" s="22">
        <f>2010/9.8</f>
        <v>205.1020408163265</v>
      </c>
      <c r="K57" s="24">
        <f>1770/9.8</f>
        <v>180.61224489795916</v>
      </c>
    </row>
    <row r="58" spans="2:11" ht="13.5" hidden="1">
      <c r="B58" s="17">
        <v>2</v>
      </c>
      <c r="C58" s="18">
        <f t="shared" si="4"/>
        <v>142.85714285714283</v>
      </c>
      <c r="D58" s="18">
        <f t="shared" si="5"/>
        <v>168.3673469387755</v>
      </c>
      <c r="E58" s="19"/>
      <c r="F58" s="18">
        <f>1270/9.8</f>
        <v>129.59183673469386</v>
      </c>
      <c r="G58" s="18">
        <f>1470/9.8</f>
        <v>150</v>
      </c>
      <c r="H58" s="18">
        <f>1720/9.8</f>
        <v>175.51020408163265</v>
      </c>
      <c r="I58" s="18">
        <f>1810/9.8</f>
        <v>184.6938775510204</v>
      </c>
      <c r="J58" s="18">
        <f>2010/9.8</f>
        <v>205.1020408163265</v>
      </c>
      <c r="K58" s="20">
        <f>1770/9.8</f>
        <v>180.61224489795916</v>
      </c>
    </row>
    <row r="59" spans="2:11" ht="13.5" hidden="1">
      <c r="B59" s="17">
        <v>2.3</v>
      </c>
      <c r="C59" s="18">
        <f>1320/9.8</f>
        <v>134.6938775510204</v>
      </c>
      <c r="D59" s="18">
        <f>1550/9.8</f>
        <v>158.16326530612244</v>
      </c>
      <c r="E59" s="19"/>
      <c r="F59" s="18">
        <f>1230/9.8</f>
        <v>125.51020408163265</v>
      </c>
      <c r="G59" s="18">
        <f>1420/9.8</f>
        <v>144.89795918367346</v>
      </c>
      <c r="H59" s="18">
        <f>1670/9.8</f>
        <v>170.40816326530611</v>
      </c>
      <c r="I59" s="18">
        <f>1770/9.8</f>
        <v>180.61224489795916</v>
      </c>
      <c r="J59" s="18">
        <f>1960/9.8</f>
        <v>199.99999999999997</v>
      </c>
      <c r="K59" s="20">
        <f>1720/9.8</f>
        <v>175.51020408163265</v>
      </c>
    </row>
    <row r="60" spans="2:11" ht="13.5" hidden="1">
      <c r="B60" s="17">
        <v>2.6</v>
      </c>
      <c r="C60" s="18">
        <f>1320/9.8</f>
        <v>134.6938775510204</v>
      </c>
      <c r="D60" s="18">
        <f>1550/9.8</f>
        <v>158.16326530612244</v>
      </c>
      <c r="E60" s="19"/>
      <c r="F60" s="18">
        <f>1230/9.8</f>
        <v>125.51020408163265</v>
      </c>
      <c r="G60" s="18">
        <f>1420/9.8</f>
        <v>144.89795918367346</v>
      </c>
      <c r="H60" s="18">
        <f>1670/9.8</f>
        <v>170.40816326530611</v>
      </c>
      <c r="I60" s="18">
        <f>1770/9.8</f>
        <v>180.61224489795916</v>
      </c>
      <c r="J60" s="18">
        <f>1960/9.8</f>
        <v>199.99999999999997</v>
      </c>
      <c r="K60" s="20">
        <f>1720/9.8</f>
        <v>175.51020408163265</v>
      </c>
    </row>
    <row r="61" spans="2:11" ht="13.5" hidden="1">
      <c r="B61" s="17">
        <v>2.9</v>
      </c>
      <c r="C61" s="18">
        <f>1230/9.8</f>
        <v>125.51020408163265</v>
      </c>
      <c r="D61" s="18">
        <f>1450/9.8</f>
        <v>147.95918367346937</v>
      </c>
      <c r="E61" s="19"/>
      <c r="F61" s="18">
        <f>1180/9.8</f>
        <v>120.40816326530611</v>
      </c>
      <c r="G61" s="18">
        <f>1370/9.8</f>
        <v>139.79591836734693</v>
      </c>
      <c r="H61" s="18">
        <f>1620/9.8</f>
        <v>165.30612244897958</v>
      </c>
      <c r="I61" s="18">
        <f>1720/9.8</f>
        <v>175.51020408163265</v>
      </c>
      <c r="J61" s="18">
        <f>1910/9.8</f>
        <v>194.89795918367346</v>
      </c>
      <c r="K61" s="20">
        <f>1720/9.8</f>
        <v>175.51020408163265</v>
      </c>
    </row>
    <row r="62" spans="2:11" ht="13.5" hidden="1">
      <c r="B62" s="17">
        <v>3.2</v>
      </c>
      <c r="C62" s="18">
        <f>1230/9.8</f>
        <v>125.51020408163265</v>
      </c>
      <c r="D62" s="18">
        <f>1450/9.8</f>
        <v>147.95918367346937</v>
      </c>
      <c r="E62" s="19"/>
      <c r="F62" s="18">
        <f>1180/9.8</f>
        <v>120.40816326530611</v>
      </c>
      <c r="G62" s="18">
        <f>1370/9.8</f>
        <v>139.79591836734693</v>
      </c>
      <c r="H62" s="18">
        <f>1570/9.8</f>
        <v>160.20408163265304</v>
      </c>
      <c r="I62" s="18">
        <f>1670/9.8</f>
        <v>170.40816326530611</v>
      </c>
      <c r="J62" s="18">
        <f>1860/9.8</f>
        <v>189.79591836734693</v>
      </c>
      <c r="K62" s="20">
        <f>1670/9.8</f>
        <v>170.40816326530611</v>
      </c>
    </row>
    <row r="63" spans="2:11" ht="13.5" hidden="1">
      <c r="B63" s="17">
        <v>3.5</v>
      </c>
      <c r="C63" s="18">
        <f>1230/9.8</f>
        <v>125.51020408163265</v>
      </c>
      <c r="D63" s="18">
        <f>1450/9.8</f>
        <v>147.95918367346937</v>
      </c>
      <c r="E63" s="19"/>
      <c r="F63" s="18">
        <f>1180/9.8</f>
        <v>120.40816326530611</v>
      </c>
      <c r="G63" s="18">
        <f>1370/9.8</f>
        <v>139.79591836734693</v>
      </c>
      <c r="H63" s="18">
        <f>1570/9.8</f>
        <v>160.20408163265304</v>
      </c>
      <c r="I63" s="18">
        <f>1670/9.8</f>
        <v>170.40816326530611</v>
      </c>
      <c r="J63" s="18">
        <f>1810/9.8</f>
        <v>184.6938775510204</v>
      </c>
      <c r="K63" s="20">
        <f>1670/9.8</f>
        <v>170.40816326530611</v>
      </c>
    </row>
    <row r="64" spans="2:11" ht="13.5" hidden="1">
      <c r="B64" s="17">
        <v>4</v>
      </c>
      <c r="C64" s="18">
        <f>1230/9.8</f>
        <v>125.51020408163265</v>
      </c>
      <c r="D64" s="18">
        <f>1450/9.8</f>
        <v>147.95918367346937</v>
      </c>
      <c r="E64" s="19"/>
      <c r="F64" s="18">
        <f>1180/9.8</f>
        <v>120.40816326530611</v>
      </c>
      <c r="G64" s="18">
        <f>1370/9.8</f>
        <v>139.79591836734693</v>
      </c>
      <c r="H64" s="18">
        <f>1570/9.8</f>
        <v>160.20408163265304</v>
      </c>
      <c r="I64" s="18">
        <f>1670/9.8</f>
        <v>170.40816326530611</v>
      </c>
      <c r="J64" s="18">
        <f>1810/9.8</f>
        <v>184.6938775510204</v>
      </c>
      <c r="K64" s="20">
        <f>1670/9.8</f>
        <v>170.40816326530611</v>
      </c>
    </row>
    <row r="65" spans="2:11" ht="13.5" hidden="1">
      <c r="B65" s="17">
        <v>4.5</v>
      </c>
      <c r="C65" s="18">
        <f>1100/9.8</f>
        <v>112.24489795918366</v>
      </c>
      <c r="D65" s="18">
        <f>1350/9.8</f>
        <v>137.75510204081633</v>
      </c>
      <c r="E65" s="19"/>
      <c r="F65" s="18">
        <f>1130/9.8</f>
        <v>115.30612244897958</v>
      </c>
      <c r="G65" s="18">
        <f>1320/9.8</f>
        <v>134.6938775510204</v>
      </c>
      <c r="H65" s="18">
        <f>1520/9.8</f>
        <v>155.1020408163265</v>
      </c>
      <c r="I65" s="18">
        <f>1620/9.8</f>
        <v>165.30612244897958</v>
      </c>
      <c r="J65" s="18">
        <f>1770/9.8</f>
        <v>180.61224489795916</v>
      </c>
      <c r="K65" s="20">
        <f>1620/9.8</f>
        <v>165.30612244897958</v>
      </c>
    </row>
    <row r="66" spans="2:11" ht="13.5" hidden="1">
      <c r="B66" s="17">
        <v>5</v>
      </c>
      <c r="C66" s="18">
        <f>1100/9.8</f>
        <v>112.24489795918366</v>
      </c>
      <c r="D66" s="18">
        <f>1350/9.8</f>
        <v>137.75510204081633</v>
      </c>
      <c r="E66" s="19"/>
      <c r="F66" s="18">
        <f>1130/9.8</f>
        <v>115.30612244897958</v>
      </c>
      <c r="G66" s="18">
        <f>1320/9.8</f>
        <v>134.6938775510204</v>
      </c>
      <c r="H66" s="18">
        <f>1520/9.8</f>
        <v>155.1020408163265</v>
      </c>
      <c r="I66" s="18">
        <f>1620/9.8</f>
        <v>165.30612244897958</v>
      </c>
      <c r="J66" s="18">
        <f>1770/9.8</f>
        <v>180.61224489795916</v>
      </c>
      <c r="K66" s="20">
        <f>1620/9.8</f>
        <v>165.30612244897958</v>
      </c>
    </row>
    <row r="67" spans="2:11" ht="13.5" hidden="1">
      <c r="B67" s="17">
        <v>5.5</v>
      </c>
      <c r="C67" s="18">
        <f>1100/9.8</f>
        <v>112.24489795918366</v>
      </c>
      <c r="D67" s="18">
        <f>1350/9.8</f>
        <v>137.75510204081633</v>
      </c>
      <c r="E67" s="19"/>
      <c r="F67" s="18">
        <f>1080/9.8</f>
        <v>110.20408163265306</v>
      </c>
      <c r="G67" s="18">
        <f>1270/9.8</f>
        <v>129.59183673469386</v>
      </c>
      <c r="H67" s="18">
        <f>1470/9.8</f>
        <v>150</v>
      </c>
      <c r="I67" s="18">
        <f>1570/9.8</f>
        <v>160.20408163265304</v>
      </c>
      <c r="J67" s="18">
        <f>1710/9.8</f>
        <v>174.48979591836732</v>
      </c>
      <c r="K67" s="20">
        <f>1570/9.8</f>
        <v>160.20408163265304</v>
      </c>
    </row>
    <row r="68" spans="2:11" ht="13.5" hidden="1">
      <c r="B68" s="17">
        <v>6</v>
      </c>
      <c r="C68" s="18">
        <f>1100/9.8</f>
        <v>112.24489795918366</v>
      </c>
      <c r="D68" s="18">
        <f>1350/9.8</f>
        <v>137.75510204081633</v>
      </c>
      <c r="E68" s="19"/>
      <c r="F68" s="18">
        <f>1030/9.8</f>
        <v>105.10204081632652</v>
      </c>
      <c r="G68" s="18">
        <f>1230/9.8</f>
        <v>125.51020408163265</v>
      </c>
      <c r="H68" s="18">
        <f>1420/9.8</f>
        <v>144.89795918367346</v>
      </c>
      <c r="I68" s="18">
        <f>1520/9.8</f>
        <v>155.1020408163265</v>
      </c>
      <c r="J68" s="18">
        <f>1670/9.8</f>
        <v>170.40816326530611</v>
      </c>
      <c r="K68" s="20">
        <f>1520/9.8</f>
        <v>155.1020408163265</v>
      </c>
    </row>
    <row r="69" spans="2:11" ht="13.5" hidden="1">
      <c r="B69" s="17">
        <v>6.5</v>
      </c>
      <c r="C69" s="18">
        <f>1000/9.8</f>
        <v>102.0408163265306</v>
      </c>
      <c r="D69" s="18">
        <f>1270/9.8</f>
        <v>129.59183673469386</v>
      </c>
      <c r="E69" s="19"/>
      <c r="F69" s="18">
        <f>1030/9.8</f>
        <v>105.10204081632652</v>
      </c>
      <c r="G69" s="18">
        <f>1230/9.8</f>
        <v>125.51020408163265</v>
      </c>
      <c r="H69" s="18">
        <f>1420/9.8</f>
        <v>144.89795918367346</v>
      </c>
      <c r="I69" s="18">
        <f>1520/9.8</f>
        <v>155.1020408163265</v>
      </c>
      <c r="J69" s="18">
        <f>1670/9.8</f>
        <v>170.40816326530611</v>
      </c>
      <c r="K69" s="20"/>
    </row>
    <row r="70" spans="2:11" ht="13.5" hidden="1">
      <c r="B70" s="17">
        <v>7</v>
      </c>
      <c r="C70" s="18">
        <f>1000/9.8</f>
        <v>102.0408163265306</v>
      </c>
      <c r="D70" s="18">
        <f>1270/9.8</f>
        <v>129.59183673469386</v>
      </c>
      <c r="E70" s="19"/>
      <c r="F70" s="18">
        <f>980/9.8</f>
        <v>99.99999999999999</v>
      </c>
      <c r="G70" s="18">
        <f>1180/9.8</f>
        <v>120.40816326530611</v>
      </c>
      <c r="H70" s="18">
        <f>1370/9.8</f>
        <v>139.79591836734693</v>
      </c>
      <c r="I70" s="18">
        <f>1470/9.8</f>
        <v>150</v>
      </c>
      <c r="J70" s="18">
        <f>1620/9.8</f>
        <v>165.30612244897958</v>
      </c>
      <c r="K70" s="20"/>
    </row>
    <row r="71" spans="2:11" ht="13.5" hidden="1">
      <c r="B71" s="17">
        <v>8</v>
      </c>
      <c r="C71" s="18">
        <f>1000/9.8</f>
        <v>102.0408163265306</v>
      </c>
      <c r="D71" s="18">
        <f>1270/9.8</f>
        <v>129.59183673469386</v>
      </c>
      <c r="E71" s="19"/>
      <c r="F71" s="18">
        <f>980/9.8</f>
        <v>99.99999999999999</v>
      </c>
      <c r="G71" s="18">
        <f>1180/9.8</f>
        <v>120.40816326530611</v>
      </c>
      <c r="H71" s="18">
        <f>1370/9.8</f>
        <v>139.79591836734693</v>
      </c>
      <c r="I71" s="18">
        <f>1470/9.8</f>
        <v>150</v>
      </c>
      <c r="J71" s="18"/>
      <c r="K71" s="20"/>
    </row>
    <row r="72" spans="2:11" ht="13.5" hidden="1">
      <c r="B72" s="17">
        <v>9</v>
      </c>
      <c r="C72" s="18"/>
      <c r="D72" s="18">
        <f>1130/9.8</f>
        <v>115.30612244897958</v>
      </c>
      <c r="E72" s="19"/>
      <c r="F72" s="18">
        <f>930/9.8</f>
        <v>94.89795918367346</v>
      </c>
      <c r="G72" s="18">
        <f>1470/9.8</f>
        <v>150</v>
      </c>
      <c r="H72" s="18">
        <f>1320/9.8</f>
        <v>134.6938775510204</v>
      </c>
      <c r="I72" s="18">
        <f>1420/9.8</f>
        <v>144.89795918367346</v>
      </c>
      <c r="J72" s="18"/>
      <c r="K72" s="20"/>
    </row>
    <row r="73" spans="2:11" ht="13.5" hidden="1">
      <c r="B73" s="17">
        <v>10</v>
      </c>
      <c r="C73" s="18"/>
      <c r="D73" s="18">
        <f>980/9.8</f>
        <v>99.99999999999999</v>
      </c>
      <c r="E73" s="19"/>
      <c r="F73" s="18">
        <f>930/9.8</f>
        <v>94.89795918367346</v>
      </c>
      <c r="G73" s="18">
        <f>1470/9.8</f>
        <v>150</v>
      </c>
      <c r="H73" s="18">
        <f>1320/9.8</f>
        <v>134.6938775510204</v>
      </c>
      <c r="I73" s="18">
        <f>1420/9.8</f>
        <v>144.89795918367346</v>
      </c>
      <c r="J73" s="18"/>
      <c r="K73" s="20"/>
    </row>
    <row r="74" spans="2:11" ht="13.5" hidden="1">
      <c r="B74" s="17">
        <v>11</v>
      </c>
      <c r="C74" s="18"/>
      <c r="D74" s="18">
        <f>880/9.8</f>
        <v>89.79591836734693</v>
      </c>
      <c r="E74" s="19"/>
      <c r="F74" s="18"/>
      <c r="G74" s="18">
        <f>1080/9.8</f>
        <v>110.20408163265306</v>
      </c>
      <c r="H74" s="18">
        <f>1270/9.8</f>
        <v>129.59183673469386</v>
      </c>
      <c r="I74" s="18"/>
      <c r="J74" s="18"/>
      <c r="K74" s="20"/>
    </row>
    <row r="75" spans="2:11" ht="13.5" hidden="1">
      <c r="B75" s="17">
        <v>12</v>
      </c>
      <c r="C75" s="18"/>
      <c r="D75" s="18"/>
      <c r="E75" s="19"/>
      <c r="F75" s="18"/>
      <c r="G75" s="18">
        <f>1080/9.8</f>
        <v>110.20408163265306</v>
      </c>
      <c r="H75" s="18">
        <f>1270/9.8</f>
        <v>129.59183673469386</v>
      </c>
      <c r="I75" s="18"/>
      <c r="J75" s="18"/>
      <c r="K75" s="20"/>
    </row>
    <row r="76" spans="2:11" ht="14.25" hidden="1" thickBot="1">
      <c r="B76" s="26">
        <v>13</v>
      </c>
      <c r="C76" s="27"/>
      <c r="D76" s="27"/>
      <c r="E76" s="28"/>
      <c r="F76" s="27"/>
      <c r="G76" s="27">
        <f>1030/9.8</f>
        <v>105.10204081632652</v>
      </c>
      <c r="H76" s="27">
        <f>1230/9.8</f>
        <v>125.51020408163265</v>
      </c>
      <c r="I76" s="27"/>
      <c r="J76" s="27"/>
      <c r="K76" s="29"/>
    </row>
    <row r="77" ht="14.25" hidden="1" thickTop="1"/>
  </sheetData>
  <sheetProtection password="CC6F" sheet="1" objects="1" scenarios="1"/>
  <dataValidations count="3">
    <dataValidation type="list" allowBlank="1" showInputMessage="1" showErrorMessage="1" sqref="B2">
      <formula1>$C$24:$K$24</formula1>
    </dataValidation>
    <dataValidation type="list" allowBlank="1" showInputMessage="1" showErrorMessage="1" sqref="B3">
      <formula1>$B$26:$B$71</formula1>
    </dataValidation>
    <dataValidation type="decimal" operator="greaterThanOrEqual" allowBlank="1" showInputMessage="1" showErrorMessage="1" prompt="線径の３倍以上に設定して下さい" error="線径の３倍以上に設定して下さい" sqref="B6">
      <formula1>B3*3</formula1>
    </dataValidation>
  </dataValidations>
  <printOptions/>
  <pageMargins left="0.75" right="0.75" top="1" bottom="1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 良宏</dc:creator>
  <cp:keywords/>
  <dc:description/>
  <cp:lastModifiedBy>大塚 良宏</cp:lastModifiedBy>
  <cp:lastPrinted>2001-05-02T03:51:06Z</cp:lastPrinted>
  <dcterms:created xsi:type="dcterms:W3CDTF">2001-04-11T06:16:09Z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