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軸間距離設定" sheetId="1" r:id="rId1"/>
    <sheet name="圧縮コイルばね" sheetId="2" r:id="rId2"/>
  </sheets>
  <definedNames/>
  <calcPr fullCalcOnLoad="1"/>
</workbook>
</file>

<file path=xl/comments1.xml><?xml version="1.0" encoding="utf-8"?>
<comments xmlns="http://schemas.openxmlformats.org/spreadsheetml/2006/main">
  <authors>
    <author>大塚 良宏</author>
  </authors>
  <commentList>
    <comment ref="C23" authorId="0">
      <text>
        <r>
          <rPr>
            <b/>
            <sz val="9"/>
            <rFont val="ＭＳ Ｐゴシック"/>
            <family val="3"/>
          </rPr>
          <t>圧縮コイルばねのシートで計算して下さい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圧縮コイルばねのシートで設定して下さい</t>
        </r>
      </text>
    </comment>
  </commentList>
</comments>
</file>

<file path=xl/sharedStrings.xml><?xml version="1.0" encoding="utf-8"?>
<sst xmlns="http://schemas.openxmlformats.org/spreadsheetml/2006/main" count="70" uniqueCount="70">
  <si>
    <t>R</t>
  </si>
  <si>
    <r>
      <t>θ</t>
    </r>
    <r>
      <rPr>
        <vertAlign val="subscript"/>
        <sz val="11"/>
        <rFont val="ＭＳ Ｐゴシック"/>
        <family val="3"/>
      </rPr>
      <t>0</t>
    </r>
  </si>
  <si>
    <r>
      <t>θ</t>
    </r>
    <r>
      <rPr>
        <vertAlign val="subscript"/>
        <sz val="11"/>
        <rFont val="ＭＳ Ｐゴシック"/>
        <family val="3"/>
      </rPr>
      <t>3</t>
    </r>
  </si>
  <si>
    <t>横弾性係数 Ｇ</t>
  </si>
  <si>
    <t>ばね定数 （ｋｇｆ／ｍｍ）</t>
  </si>
  <si>
    <t>材質</t>
  </si>
  <si>
    <t>線径 (mm)</t>
  </si>
  <si>
    <r>
      <t xml:space="preserve">材料の引っ張り強さ σ </t>
    </r>
    <r>
      <rPr>
        <vertAlign val="subscript"/>
        <sz val="11"/>
        <rFont val="ＭＳ Ｐゴシック"/>
        <family val="3"/>
      </rPr>
      <t>B</t>
    </r>
  </si>
  <si>
    <t>コイル平均径 (mm)</t>
  </si>
  <si>
    <t>有効巻数</t>
  </si>
  <si>
    <t>両端研磨</t>
  </si>
  <si>
    <t>密着高さ (mm)</t>
  </si>
  <si>
    <t>自由長さ (mm)</t>
  </si>
  <si>
    <r>
      <t>指定長さ Ｌ</t>
    </r>
    <r>
      <rPr>
        <vertAlign val="subscript"/>
        <sz val="11"/>
        <rFont val="ＭＳ Ｐゴシック"/>
        <family val="3"/>
      </rPr>
      <t>１</t>
    </r>
    <r>
      <rPr>
        <sz val="11"/>
        <rFont val="ＭＳ Ｐゴシック"/>
        <family val="3"/>
      </rPr>
      <t xml:space="preserve"> (mm)</t>
    </r>
  </si>
  <si>
    <r>
      <t>指定長さ Ｌ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 (mm)</t>
    </r>
  </si>
  <si>
    <r>
      <t>荷重 Ｐ</t>
    </r>
    <r>
      <rPr>
        <vertAlign val="subscript"/>
        <sz val="11"/>
        <rFont val="ＭＳ Ｐゴシック"/>
        <family val="3"/>
      </rPr>
      <t xml:space="preserve">１ </t>
    </r>
    <r>
      <rPr>
        <sz val="11"/>
        <rFont val="ＭＳ Ｐゴシック"/>
        <family val="3"/>
      </rPr>
      <t>(kgf)</t>
    </r>
  </si>
  <si>
    <r>
      <t>荷重 Ｐ</t>
    </r>
    <r>
      <rPr>
        <vertAlign val="subscript"/>
        <sz val="11"/>
        <rFont val="ＭＳ Ｐゴシック"/>
        <family val="3"/>
      </rPr>
      <t xml:space="preserve">２ </t>
    </r>
    <r>
      <rPr>
        <sz val="11"/>
        <rFont val="ＭＳ Ｐゴシック"/>
        <family val="3"/>
      </rPr>
      <t>(kgf)</t>
    </r>
  </si>
  <si>
    <r>
      <t>未修正応力 τ</t>
    </r>
    <r>
      <rPr>
        <vertAlign val="subscript"/>
        <sz val="11"/>
        <rFont val="ＭＳ Ｐゴシック"/>
        <family val="3"/>
      </rPr>
      <t>0</t>
    </r>
  </si>
  <si>
    <r>
      <t xml:space="preserve">修正応力 τ </t>
    </r>
    <r>
      <rPr>
        <vertAlign val="subscript"/>
        <sz val="11"/>
        <rFont val="ＭＳ Ｐゴシック"/>
        <family val="3"/>
      </rPr>
      <t>max</t>
    </r>
  </si>
  <si>
    <r>
      <t xml:space="preserve">τ </t>
    </r>
    <r>
      <rPr>
        <vertAlign val="subscript"/>
        <sz val="11"/>
        <rFont val="ＭＳ Ｐゴシック"/>
        <family val="3"/>
      </rPr>
      <t>max</t>
    </r>
    <r>
      <rPr>
        <sz val="11"/>
        <rFont val="ＭＳ Ｐゴシック"/>
        <family val="3"/>
      </rPr>
      <t xml:space="preserve">／σ </t>
    </r>
    <r>
      <rPr>
        <vertAlign val="subscript"/>
        <sz val="11"/>
        <rFont val="ＭＳ Ｐゴシック"/>
        <family val="3"/>
      </rPr>
      <t>B</t>
    </r>
  </si>
  <si>
    <t>γ</t>
  </si>
  <si>
    <t>SUS A</t>
  </si>
  <si>
    <t>SUS B</t>
  </si>
  <si>
    <t>SUS C</t>
  </si>
  <si>
    <t>SW-A</t>
  </si>
  <si>
    <t>SW-B</t>
  </si>
  <si>
    <t>SW-C</t>
  </si>
  <si>
    <t>SWP-A</t>
  </si>
  <si>
    <t>SWP-B</t>
  </si>
  <si>
    <t>SWP-V</t>
  </si>
  <si>
    <t>あり</t>
  </si>
  <si>
    <t>なし</t>
  </si>
  <si>
    <t>T</t>
  </si>
  <si>
    <t>SWP-B</t>
  </si>
  <si>
    <t>あり</t>
  </si>
  <si>
    <t>Ｇ</t>
  </si>
  <si>
    <r>
      <t>Ｌ</t>
    </r>
    <r>
      <rPr>
        <vertAlign val="subscript"/>
        <sz val="11"/>
        <rFont val="ＭＳ Ｐゴシック"/>
        <family val="3"/>
      </rPr>
      <t>Ｇ</t>
    </r>
  </si>
  <si>
    <r>
      <t>θ</t>
    </r>
    <r>
      <rPr>
        <vertAlign val="subscript"/>
        <sz val="11"/>
        <rFont val="ＭＳ Ｐゴシック"/>
        <family val="3"/>
      </rPr>
      <t>G</t>
    </r>
  </si>
  <si>
    <t>M</t>
  </si>
  <si>
    <r>
      <t>T</t>
    </r>
    <r>
      <rPr>
        <vertAlign val="subscript"/>
        <sz val="11"/>
        <rFont val="ＭＳ Ｐゴシック"/>
        <family val="3"/>
      </rPr>
      <t>TOTAL</t>
    </r>
  </si>
  <si>
    <t>N</t>
  </si>
  <si>
    <t>軸（２）のＸ座標</t>
  </si>
  <si>
    <t>軸（２）のＹ座標</t>
  </si>
  <si>
    <t>軸（３）のＸ座標</t>
  </si>
  <si>
    <t>軸（３）のＹ座標</t>
  </si>
  <si>
    <t>ばねの数</t>
  </si>
  <si>
    <t>回転軸から重心までの距離</t>
  </si>
  <si>
    <t>回転軸と重心との位相差</t>
  </si>
  <si>
    <r>
      <t>L</t>
    </r>
    <r>
      <rPr>
        <vertAlign val="subscript"/>
        <sz val="11"/>
        <rFont val="ＭＳ Ｐゴシック"/>
        <family val="3"/>
      </rPr>
      <t>B</t>
    </r>
  </si>
  <si>
    <t>θ</t>
  </si>
  <si>
    <t>ばねの自由長さ</t>
  </si>
  <si>
    <t>ばね定数</t>
  </si>
  <si>
    <r>
      <t>L</t>
    </r>
    <r>
      <rPr>
        <vertAlign val="subscript"/>
        <sz val="11"/>
        <rFont val="ＭＳ Ｐゴシック"/>
        <family val="3"/>
      </rPr>
      <t>23</t>
    </r>
  </si>
  <si>
    <r>
      <t>L</t>
    </r>
    <r>
      <rPr>
        <vertAlign val="subscript"/>
        <sz val="11"/>
        <rFont val="ＭＳ Ｐゴシック"/>
        <family val="3"/>
      </rPr>
      <t>SP</t>
    </r>
  </si>
  <si>
    <r>
      <t>角度θ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での軸（３）のＸ座標</t>
    </r>
  </si>
  <si>
    <r>
      <t>D (Y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</si>
  <si>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A (X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</si>
  <si>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B (Y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</si>
  <si>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C (X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</si>
  <si>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角度θ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での軸（３）のY座標</t>
    </r>
  </si>
  <si>
    <t>軸（３）の角度</t>
  </si>
  <si>
    <r>
      <t>θ</t>
    </r>
    <r>
      <rPr>
        <vertAlign val="subscript"/>
        <sz val="11"/>
        <rFont val="ＭＳ Ｐゴシック"/>
        <family val="3"/>
      </rPr>
      <t>231</t>
    </r>
  </si>
  <si>
    <r>
      <t>T</t>
    </r>
    <r>
      <rPr>
        <vertAlign val="subscript"/>
        <sz val="11"/>
        <rFont val="ＭＳ Ｐゴシック"/>
        <family val="3"/>
      </rPr>
      <t>TOTAL</t>
    </r>
    <r>
      <rPr>
        <sz val="11"/>
        <rFont val="ＭＳ Ｐゴシック"/>
        <family val="3"/>
      </rPr>
      <t>-M</t>
    </r>
  </si>
  <si>
    <t>ADF、ヒンジの開閉角度</t>
  </si>
  <si>
    <t>h</t>
  </si>
  <si>
    <r>
      <t>L</t>
    </r>
    <r>
      <rPr>
        <vertAlign val="subscript"/>
        <sz val="11"/>
        <rFont val="ＭＳ Ｐゴシック"/>
        <family val="3"/>
      </rPr>
      <t>A</t>
    </r>
  </si>
  <si>
    <t>ADFの自重モーメント</t>
  </si>
  <si>
    <t>ヒンジのトルク特性</t>
  </si>
  <si>
    <t>ADFの重量(kgf)</t>
  </si>
  <si>
    <t>横弾性係数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</si>
</sst>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_ "/>
    <numFmt numFmtId="178" formatCode="0_ "/>
    <numFmt numFmtId="179" formatCode="0.00_ "/>
    <numFmt numFmtId="180" formatCode="[&lt;=999]000;000\-00"/>
    <numFmt numFmtId="181" formatCode="0.000_ "/>
    <numFmt numFmtId="182" formatCode="0.0%"/>
    <numFmt numFmtId="183" formatCode="0.E+00"/>
  </numFmts>
  <fonts count="7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1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/>
      <protection/>
    </xf>
    <xf numFmtId="11" fontId="0" fillId="2" borderId="0" xfId="0" applyNumberFormat="1" applyFill="1" applyAlignment="1">
      <alignment/>
    </xf>
    <xf numFmtId="11" fontId="0" fillId="3" borderId="0" xfId="0" applyNumberFormat="1" applyFill="1" applyAlignment="1">
      <alignment/>
    </xf>
    <xf numFmtId="11" fontId="0" fillId="4" borderId="0" xfId="0" applyNumberFormat="1" applyFill="1" applyAlignment="1">
      <alignment/>
    </xf>
    <xf numFmtId="181" fontId="0" fillId="5" borderId="0" xfId="0" applyNumberFormat="1" applyFill="1" applyAlignment="1" applyProtection="1">
      <alignment/>
      <protection locked="0"/>
    </xf>
    <xf numFmtId="178" fontId="0" fillId="5" borderId="0" xfId="0" applyNumberFormat="1" applyFill="1" applyAlignment="1" applyProtection="1">
      <alignment/>
      <protection locked="0"/>
    </xf>
    <xf numFmtId="177" fontId="0" fillId="5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178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9" fontId="0" fillId="6" borderId="7" xfId="0" applyNumberFormat="1" applyFill="1" applyBorder="1" applyAlignment="1" applyProtection="1">
      <alignment/>
      <protection/>
    </xf>
    <xf numFmtId="178" fontId="0" fillId="6" borderId="0" xfId="0" applyNumberFormat="1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178" fontId="0" fillId="6" borderId="8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8" fontId="0" fillId="0" borderId="11" xfId="0" applyNumberFormat="1" applyBorder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/>
    </xf>
    <xf numFmtId="11" fontId="0" fillId="5" borderId="0" xfId="0" applyNumberFormat="1" applyFill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6"/>
          <c:order val="0"/>
          <c:tx>
            <c:strRef>
              <c:f>'軸間距離設定'!$A$6</c:f>
              <c:strCache>
                <c:ptCount val="1"/>
                <c:pt idx="0">
                  <c:v>ADFの自重モーメント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'軸間距離設定'!$C$1:$R$1</c:f>
              <c:numCache/>
            </c:numRef>
          </c:cat>
          <c:val>
            <c:numRef>
              <c:f>'軸間距離設定'!$C$6:$R$6</c:f>
              <c:numCache/>
            </c:numRef>
          </c:val>
          <c:smooth val="0"/>
        </c:ser>
        <c:ser>
          <c:idx val="2"/>
          <c:order val="1"/>
          <c:tx>
            <c:strRef>
              <c:f>'軸間距離設定'!$A$27</c:f>
              <c:strCache>
                <c:ptCount val="1"/>
                <c:pt idx="0">
                  <c:v>ヒンジのトルク特性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'軸間距離設定'!$C$1:$R$1</c:f>
              <c:numCache/>
            </c:numRef>
          </c:cat>
          <c:val>
            <c:numRef>
              <c:f>'軸間距離設定'!$C$27:$R$27</c:f>
              <c:numCache/>
            </c:numRef>
          </c:val>
          <c:smooth val="0"/>
        </c:ser>
        <c:marker val="1"/>
        <c:axId val="2825575"/>
        <c:axId val="25430176"/>
      </c:lineChart>
      <c:catAx>
        <c:axId val="2825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角度(deg)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430176"/>
        <c:crosses val="autoZero"/>
        <c:auto val="0"/>
        <c:lblOffset val="100"/>
        <c:noMultiLvlLbl val="0"/>
      </c:catAx>
      <c:valAx>
        <c:axId val="25430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トルク(kgf-mm)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8255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28</xdr:row>
      <xdr:rowOff>66675</xdr:rowOff>
    </xdr:from>
    <xdr:to>
      <xdr:col>8</xdr:col>
      <xdr:colOff>447675</xdr:colOff>
      <xdr:row>56</xdr:row>
      <xdr:rowOff>47625</xdr:rowOff>
    </xdr:to>
    <xdr:graphicFrame>
      <xdr:nvGraphicFramePr>
        <xdr:cNvPr id="1" name="Chart 12"/>
        <xdr:cNvGraphicFramePr/>
      </xdr:nvGraphicFramePr>
      <xdr:xfrm>
        <a:off x="342900" y="5400675"/>
        <a:ext cx="70389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C26" sqref="C26"/>
    </sheetView>
  </sheetViews>
  <sheetFormatPr defaultColWidth="9.00390625" defaultRowHeight="13.5"/>
  <cols>
    <col min="1" max="1" width="24.625" style="1" customWidth="1"/>
    <col min="2" max="2" width="8.625" style="1" customWidth="1"/>
    <col min="3" max="20" width="9.625" style="1" customWidth="1"/>
    <col min="21" max="16384" width="9.00390625" style="1" customWidth="1"/>
  </cols>
  <sheetData>
    <row r="1" spans="1:21" s="3" customFormat="1" ht="15" customHeight="1">
      <c r="A1" s="3" t="s">
        <v>63</v>
      </c>
      <c r="B1" s="3" t="s">
        <v>49</v>
      </c>
      <c r="C1" s="6">
        <v>0</v>
      </c>
      <c r="D1" s="6">
        <v>5</v>
      </c>
      <c r="E1" s="6">
        <v>10</v>
      </c>
      <c r="F1" s="6">
        <v>15</v>
      </c>
      <c r="G1" s="6">
        <v>20</v>
      </c>
      <c r="H1" s="6">
        <v>25</v>
      </c>
      <c r="I1" s="6">
        <v>30</v>
      </c>
      <c r="J1" s="6">
        <v>35</v>
      </c>
      <c r="K1" s="6">
        <v>40</v>
      </c>
      <c r="L1" s="6">
        <v>45</v>
      </c>
      <c r="M1" s="6">
        <v>50</v>
      </c>
      <c r="N1" s="6">
        <v>55</v>
      </c>
      <c r="O1" s="6">
        <v>60</v>
      </c>
      <c r="P1" s="6">
        <v>65</v>
      </c>
      <c r="Q1" s="6">
        <v>70</v>
      </c>
      <c r="R1" s="6">
        <v>75</v>
      </c>
      <c r="S1" s="6"/>
      <c r="T1" s="6"/>
      <c r="U1" s="6"/>
    </row>
    <row r="2" spans="3:21" s="3" customFormat="1" ht="1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3" ht="15" customHeight="1">
      <c r="A3" s="1" t="s">
        <v>68</v>
      </c>
      <c r="B3" s="1" t="s">
        <v>35</v>
      </c>
      <c r="C3" s="12">
        <v>5</v>
      </c>
    </row>
    <row r="4" spans="1:3" ht="15" customHeight="1">
      <c r="A4" s="1" t="s">
        <v>46</v>
      </c>
      <c r="B4" s="1" t="s">
        <v>36</v>
      </c>
      <c r="C4" s="13">
        <v>200</v>
      </c>
    </row>
    <row r="5" spans="1:3" ht="15" customHeight="1">
      <c r="A5" s="1" t="s">
        <v>47</v>
      </c>
      <c r="B5" s="1" t="s">
        <v>37</v>
      </c>
      <c r="C5" s="13">
        <v>5</v>
      </c>
    </row>
    <row r="6" spans="1:18" ht="15" customHeight="1">
      <c r="A6" s="1" t="s">
        <v>66</v>
      </c>
      <c r="B6" s="10" t="s">
        <v>38</v>
      </c>
      <c r="C6" s="10">
        <f aca="true" t="shared" si="0" ref="C6:R6">$C$3*$C$4*COS((C1+$C$5)*PI()/180)</f>
        <v>996.1946980917455</v>
      </c>
      <c r="D6" s="10">
        <f t="shared" si="0"/>
        <v>984.807753012208</v>
      </c>
      <c r="E6" s="10">
        <f t="shared" si="0"/>
        <v>965.9258262890684</v>
      </c>
      <c r="F6" s="10">
        <f t="shared" si="0"/>
        <v>939.6926207859084</v>
      </c>
      <c r="G6" s="10">
        <f t="shared" si="0"/>
        <v>906.30778703665</v>
      </c>
      <c r="H6" s="10">
        <f t="shared" si="0"/>
        <v>866.0254037844387</v>
      </c>
      <c r="I6" s="10">
        <f t="shared" si="0"/>
        <v>819.1520442889918</v>
      </c>
      <c r="J6" s="10">
        <f t="shared" si="0"/>
        <v>766.044443118978</v>
      </c>
      <c r="K6" s="10">
        <f t="shared" si="0"/>
        <v>707.1067811865476</v>
      </c>
      <c r="L6" s="10">
        <f t="shared" si="0"/>
        <v>642.7876096865393</v>
      </c>
      <c r="M6" s="10">
        <f t="shared" si="0"/>
        <v>573.5764363510461</v>
      </c>
      <c r="N6" s="10">
        <f t="shared" si="0"/>
        <v>500.0000000000001</v>
      </c>
      <c r="O6" s="10">
        <f t="shared" si="0"/>
        <v>422.61826174069944</v>
      </c>
      <c r="P6" s="10">
        <f t="shared" si="0"/>
        <v>342.0201433256688</v>
      </c>
      <c r="Q6" s="10">
        <f t="shared" si="0"/>
        <v>258.81904510252076</v>
      </c>
      <c r="R6" s="10">
        <f t="shared" si="0"/>
        <v>173.64817766693042</v>
      </c>
    </row>
    <row r="7" spans="2:18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1" s="2" customFormat="1" ht="15" customHeight="1">
      <c r="A8" s="2" t="s">
        <v>41</v>
      </c>
      <c r="B8" s="2" t="s">
        <v>56</v>
      </c>
      <c r="C8" s="14">
        <v>20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" customFormat="1" ht="15" customHeight="1">
      <c r="A9" s="2" t="s">
        <v>42</v>
      </c>
      <c r="B9" s="2" t="s">
        <v>57</v>
      </c>
      <c r="C9" s="14">
        <v>-10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" customFormat="1" ht="15" customHeight="1">
      <c r="A10" s="2" t="s">
        <v>43</v>
      </c>
      <c r="B10" s="2" t="s">
        <v>58</v>
      </c>
      <c r="C10" s="14">
        <v>100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" customFormat="1" ht="15" customHeight="1">
      <c r="A11" s="2" t="s">
        <v>44</v>
      </c>
      <c r="B11" s="2" t="s">
        <v>55</v>
      </c>
      <c r="C11" s="14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15" customHeight="1">
      <c r="B12" s="1" t="s">
        <v>0</v>
      </c>
      <c r="C12" s="1">
        <f>SQRT((POWER($C$10,2))+POWER($C$11,2))</f>
        <v>100.24470060806208</v>
      </c>
      <c r="S12" s="5"/>
      <c r="T12" s="5"/>
      <c r="U12" s="5"/>
    </row>
    <row r="13" spans="2:21" ht="15" customHeight="1">
      <c r="B13" s="1" t="s">
        <v>1</v>
      </c>
      <c r="C13" s="1">
        <f>(ATAN($C$11/$C$10))*180/PI()</f>
        <v>4.004172940709388</v>
      </c>
      <c r="S13" s="5"/>
      <c r="T13" s="5"/>
      <c r="U13" s="5"/>
    </row>
    <row r="14" spans="1:18" ht="15" customHeight="1">
      <c r="A14" s="1" t="s">
        <v>60</v>
      </c>
      <c r="B14" s="3" t="s">
        <v>2</v>
      </c>
      <c r="C14" s="1">
        <f aca="true" t="shared" si="1" ref="C14:R14">$C$13+C1</f>
        <v>4.004172940709388</v>
      </c>
      <c r="D14" s="1">
        <f t="shared" si="1"/>
        <v>9.004172940709388</v>
      </c>
      <c r="E14" s="1">
        <f t="shared" si="1"/>
        <v>14.004172940709388</v>
      </c>
      <c r="F14" s="1">
        <f t="shared" si="1"/>
        <v>19.00417294070939</v>
      </c>
      <c r="G14" s="1">
        <f t="shared" si="1"/>
        <v>24.00417294070939</v>
      </c>
      <c r="H14" s="1">
        <f t="shared" si="1"/>
        <v>29.00417294070939</v>
      </c>
      <c r="I14" s="1">
        <f t="shared" si="1"/>
        <v>34.00417294070939</v>
      </c>
      <c r="J14" s="1">
        <f t="shared" si="1"/>
        <v>39.00417294070939</v>
      </c>
      <c r="K14" s="1">
        <f t="shared" si="1"/>
        <v>44.00417294070939</v>
      </c>
      <c r="L14" s="1">
        <f t="shared" si="1"/>
        <v>49.00417294070939</v>
      </c>
      <c r="M14" s="1">
        <f t="shared" si="1"/>
        <v>54.00417294070939</v>
      </c>
      <c r="N14" s="1">
        <f t="shared" si="1"/>
        <v>59.00417294070939</v>
      </c>
      <c r="O14" s="1">
        <f t="shared" si="1"/>
        <v>64.0041729407094</v>
      </c>
      <c r="P14" s="1">
        <f t="shared" si="1"/>
        <v>69.0041729407094</v>
      </c>
      <c r="Q14" s="1">
        <f t="shared" si="1"/>
        <v>74.0041729407094</v>
      </c>
      <c r="R14" s="1">
        <f t="shared" si="1"/>
        <v>79.0041729407094</v>
      </c>
    </row>
    <row r="15" spans="1:18" ht="15" customHeight="1">
      <c r="A15" s="1" t="s">
        <v>54</v>
      </c>
      <c r="B15" s="3"/>
      <c r="C15" s="1">
        <f aca="true" t="shared" si="2" ref="C15:R15">$C$12*COS(C14*PI()/180)</f>
        <v>100</v>
      </c>
      <c r="D15" s="1">
        <f t="shared" si="2"/>
        <v>99.00937960994095</v>
      </c>
      <c r="E15" s="1">
        <f t="shared" si="2"/>
        <v>97.2652380575523</v>
      </c>
      <c r="F15" s="1">
        <f t="shared" si="2"/>
        <v>94.78084931318918</v>
      </c>
      <c r="G15" s="1">
        <f t="shared" si="2"/>
        <v>91.57512107531116</v>
      </c>
      <c r="H15" s="1">
        <f t="shared" si="2"/>
        <v>87.67245087148011</v>
      </c>
      <c r="I15" s="1">
        <f t="shared" si="2"/>
        <v>83.10254037844386</v>
      </c>
      <c r="J15" s="1">
        <f t="shared" si="2"/>
        <v>77.90016937444186</v>
      </c>
      <c r="K15" s="1">
        <f t="shared" si="2"/>
        <v>72.10493104409204</v>
      </c>
      <c r="L15" s="1">
        <f t="shared" si="2"/>
        <v>65.76093065034893</v>
      </c>
      <c r="M15" s="1">
        <f t="shared" si="2"/>
        <v>58.91644986682108</v>
      </c>
      <c r="N15" s="1">
        <f t="shared" si="2"/>
        <v>51.623579325081664</v>
      </c>
      <c r="O15" s="1">
        <f t="shared" si="2"/>
        <v>43.93782217350892</v>
      </c>
      <c r="P15" s="1">
        <f t="shared" si="2"/>
        <v>35.91767166481339</v>
      </c>
      <c r="Q15" s="1">
        <f t="shared" si="2"/>
        <v>27.6241659870655</v>
      </c>
      <c r="R15" s="1">
        <f t="shared" si="2"/>
        <v>19.12042372622859</v>
      </c>
    </row>
    <row r="16" spans="1:18" ht="15" customHeight="1">
      <c r="A16" s="1" t="s">
        <v>59</v>
      </c>
      <c r="B16" s="3"/>
      <c r="C16" s="1">
        <f aca="true" t="shared" si="3" ref="C16:R16">$C$12*SIN(C14*PI()/180)</f>
        <v>7.000000000000003</v>
      </c>
      <c r="D16" s="1">
        <f t="shared" si="3"/>
        <v>15.688937161408035</v>
      </c>
      <c r="E16" s="1">
        <f t="shared" si="3"/>
        <v>24.258472037778493</v>
      </c>
      <c r="F16" s="1">
        <f t="shared" si="3"/>
        <v>32.643385294275554</v>
      </c>
      <c r="G16" s="1">
        <f t="shared" si="3"/>
        <v>40.779862678068234</v>
      </c>
      <c r="H16" s="1">
        <f t="shared" si="3"/>
        <v>48.60598068332649</v>
      </c>
      <c r="I16" s="1">
        <f t="shared" si="3"/>
        <v>56.062177826491066</v>
      </c>
      <c r="J16" s="1">
        <f t="shared" si="3"/>
        <v>63.09170794512755</v>
      </c>
      <c r="K16" s="1">
        <f t="shared" si="3"/>
        <v>69.64107207048677</v>
      </c>
      <c r="L16" s="1">
        <f t="shared" si="3"/>
        <v>75.66042558696059</v>
      </c>
      <c r="M16" s="1">
        <f t="shared" si="3"/>
        <v>81.10395757970359</v>
      </c>
      <c r="N16" s="1">
        <f t="shared" si="3"/>
        <v>85.9302394833565</v>
      </c>
      <c r="O16" s="1">
        <f t="shared" si="3"/>
        <v>90.10254037844388</v>
      </c>
      <c r="P16" s="1">
        <f t="shared" si="3"/>
        <v>93.58910653584991</v>
      </c>
      <c r="Q16" s="1">
        <f t="shared" si="3"/>
        <v>96.36340308187053</v>
      </c>
      <c r="R16" s="1">
        <f t="shared" si="3"/>
        <v>98.40431594462447</v>
      </c>
    </row>
    <row r="17" spans="2:18" ht="15" customHeight="1">
      <c r="B17" s="3" t="s">
        <v>61</v>
      </c>
      <c r="C17" s="1">
        <f>(ATAN(ABS((C16-$C$9)/(C15-$C$8))))*180/PI()-C14</f>
        <v>7.992726367214193</v>
      </c>
      <c r="D17" s="1">
        <f aca="true" t="shared" si="4" ref="D17:R17">(ATAN(ABS((D16-$C$9)/(D15-$C$8))))*180/PI()-D14</f>
        <v>9.00713030734062</v>
      </c>
      <c r="E17" s="1">
        <f t="shared" si="4"/>
        <v>9.907746166435455</v>
      </c>
      <c r="F17" s="1">
        <f t="shared" si="4"/>
        <v>10.68954960104092</v>
      </c>
      <c r="G17" s="1">
        <f t="shared" si="4"/>
        <v>11.35009780237575</v>
      </c>
      <c r="H17" s="1">
        <f t="shared" si="4"/>
        <v>11.889182564624576</v>
      </c>
      <c r="I17" s="1">
        <f t="shared" si="4"/>
        <v>12.308453825644108</v>
      </c>
      <c r="J17" s="1">
        <f t="shared" si="4"/>
        <v>12.611046094725381</v>
      </c>
      <c r="K17" s="1">
        <f t="shared" si="4"/>
        <v>12.801230421602952</v>
      </c>
      <c r="L17" s="1">
        <f t="shared" si="4"/>
        <v>12.884105559288187</v>
      </c>
      <c r="M17" s="1">
        <f t="shared" si="4"/>
        <v>12.865334650660778</v>
      </c>
      <c r="N17" s="1">
        <f t="shared" si="4"/>
        <v>12.750928408166807</v>
      </c>
      <c r="O17" s="1">
        <f t="shared" si="4"/>
        <v>12.54707223158087</v>
      </c>
      <c r="P17" s="1">
        <f t="shared" si="4"/>
        <v>12.259992690674878</v>
      </c>
      <c r="Q17" s="1">
        <f t="shared" si="4"/>
        <v>11.895857900117349</v>
      </c>
      <c r="R17" s="1">
        <f t="shared" si="4"/>
        <v>10.53094794521968</v>
      </c>
    </row>
    <row r="18" spans="2:18" ht="15" customHeight="1">
      <c r="B18" s="3" t="s">
        <v>64</v>
      </c>
      <c r="C18" s="1">
        <f aca="true" t="shared" si="5" ref="C18:R18">$C$12*SIN(C17*PI()/180)</f>
        <v>13.938763625579467</v>
      </c>
      <c r="D18" s="1">
        <f t="shared" si="5"/>
        <v>15.694047587348008</v>
      </c>
      <c r="E18" s="1">
        <f t="shared" si="5"/>
        <v>17.248331910474707</v>
      </c>
      <c r="F18" s="1">
        <f t="shared" si="5"/>
        <v>18.59412785181711</v>
      </c>
      <c r="G18" s="1">
        <f t="shared" si="5"/>
        <v>19.72850701765629</v>
      </c>
      <c r="H18" s="1">
        <f t="shared" si="5"/>
        <v>20.652357018021696</v>
      </c>
      <c r="I18" s="1">
        <f t="shared" si="5"/>
        <v>21.369618359460716</v>
      </c>
      <c r="J18" s="1">
        <f t="shared" si="5"/>
        <v>21.88656432657355</v>
      </c>
      <c r="K18" s="1">
        <f t="shared" si="5"/>
        <v>22.211162057525566</v>
      </c>
      <c r="L18" s="1">
        <f t="shared" si="5"/>
        <v>22.352533128458383</v>
      </c>
      <c r="M18" s="1">
        <f t="shared" si="5"/>
        <v>22.32051719580683</v>
      </c>
      <c r="N18" s="1">
        <f t="shared" si="5"/>
        <v>22.125332586269852</v>
      </c>
      <c r="O18" s="1">
        <f t="shared" si="5"/>
        <v>21.777322344318534</v>
      </c>
      <c r="P18" s="1">
        <f t="shared" si="5"/>
        <v>21.286772036503795</v>
      </c>
      <c r="Q18" s="1">
        <f t="shared" si="5"/>
        <v>20.663785502682927</v>
      </c>
      <c r="R18" s="1">
        <f t="shared" si="5"/>
        <v>18.321382864537846</v>
      </c>
    </row>
    <row r="19" spans="2:18" ht="15" customHeight="1">
      <c r="B19" s="3" t="s">
        <v>52</v>
      </c>
      <c r="C19" s="1">
        <f>SQRT((POWER((C15)-($C$8),2))+(POWER((C16)-($C$9),2)))</f>
        <v>81.78630692236935</v>
      </c>
      <c r="D19" s="1">
        <f>SQRT((POWER((D15)-($C$8),2))+(POWER((D16)-($C$9),2)))</f>
        <v>83.0807050934844</v>
      </c>
      <c r="E19" s="1">
        <f>SQRT((POWER((E15)-($C$8),2))+(POWER((E16)-($C$9),2)))</f>
        <v>84.51958304708724</v>
      </c>
      <c r="F19" s="1">
        <f>SQRT((POWER((F15)-($C$8),2))+(POWER((F16)-($C$9),2)))</f>
        <v>86.0850378019197</v>
      </c>
      <c r="G19" s="1">
        <f aca="true" t="shared" si="6" ref="G19:R19">SQRT((POWER((G15)-($C$8),2))+(POWER((G16)-($C$9),2)))</f>
        <v>87.7587170060554</v>
      </c>
      <c r="H19" s="1">
        <f t="shared" si="6"/>
        <v>89.52218484156498</v>
      </c>
      <c r="I19" s="1">
        <f t="shared" si="6"/>
        <v>91.35722161598429</v>
      </c>
      <c r="J19" s="1">
        <f t="shared" si="6"/>
        <v>93.2460582755372</v>
      </c>
      <c r="K19" s="1">
        <f t="shared" si="6"/>
        <v>95.17155141977068</v>
      </c>
      <c r="L19" s="1">
        <f t="shared" si="6"/>
        <v>97.11730682903668</v>
      </c>
      <c r="M19" s="1">
        <f t="shared" si="6"/>
        <v>99.06776043154116</v>
      </c>
      <c r="N19" s="1">
        <f t="shared" si="6"/>
        <v>101.00822549012463</v>
      </c>
      <c r="O19" s="1">
        <f t="shared" si="6"/>
        <v>102.92491399378736</v>
      </c>
      <c r="P19" s="1">
        <f t="shared" si="6"/>
        <v>104.8049391208471</v>
      </c>
      <c r="Q19" s="1">
        <f t="shared" si="6"/>
        <v>106.63630442843933</v>
      </c>
      <c r="R19" s="1">
        <f t="shared" si="6"/>
        <v>108.40788426052482</v>
      </c>
    </row>
    <row r="20" spans="2:3" s="2" customFormat="1" ht="15" customHeight="1">
      <c r="B20" s="3" t="s">
        <v>65</v>
      </c>
      <c r="C20" s="14">
        <v>10</v>
      </c>
    </row>
    <row r="21" spans="2:3" s="2" customFormat="1" ht="15" customHeight="1">
      <c r="B21" s="3" t="s">
        <v>48</v>
      </c>
      <c r="C21" s="14">
        <v>10</v>
      </c>
    </row>
    <row r="22" spans="2:18" ht="15" customHeight="1">
      <c r="B22" s="3" t="s">
        <v>53</v>
      </c>
      <c r="C22" s="1">
        <f>C19-$C$20-$C$21</f>
        <v>61.78630692236935</v>
      </c>
      <c r="D22" s="1">
        <f aca="true" t="shared" si="7" ref="D22:R22">D19-$C$20-$C$21</f>
        <v>63.0807050934844</v>
      </c>
      <c r="E22" s="1">
        <f t="shared" si="7"/>
        <v>64.51958304708724</v>
      </c>
      <c r="F22" s="1">
        <f t="shared" si="7"/>
        <v>66.0850378019197</v>
      </c>
      <c r="G22" s="1">
        <f t="shared" si="7"/>
        <v>67.7587170060554</v>
      </c>
      <c r="H22" s="1">
        <f t="shared" si="7"/>
        <v>69.52218484156498</v>
      </c>
      <c r="I22" s="1">
        <f t="shared" si="7"/>
        <v>71.35722161598429</v>
      </c>
      <c r="J22" s="1">
        <f t="shared" si="7"/>
        <v>73.2460582755372</v>
      </c>
      <c r="K22" s="1">
        <f t="shared" si="7"/>
        <v>75.17155141977068</v>
      </c>
      <c r="L22" s="1">
        <f t="shared" si="7"/>
        <v>77.11730682903668</v>
      </c>
      <c r="M22" s="1">
        <f t="shared" si="7"/>
        <v>79.06776043154116</v>
      </c>
      <c r="N22" s="1">
        <f t="shared" si="7"/>
        <v>81.00822549012463</v>
      </c>
      <c r="O22" s="1">
        <f t="shared" si="7"/>
        <v>82.92491399378736</v>
      </c>
      <c r="P22" s="1">
        <f t="shared" si="7"/>
        <v>84.8049391208471</v>
      </c>
      <c r="Q22" s="1">
        <f t="shared" si="7"/>
        <v>86.63630442843933</v>
      </c>
      <c r="R22" s="1">
        <f t="shared" si="7"/>
        <v>88.40788426052482</v>
      </c>
    </row>
    <row r="23" spans="1:3" ht="15" customHeight="1">
      <c r="A23" s="1" t="s">
        <v>51</v>
      </c>
      <c r="B23" s="3"/>
      <c r="C23" s="11">
        <f>'圧縮コイルばね'!$B$8</f>
        <v>1.0257598204264873</v>
      </c>
    </row>
    <row r="24" spans="1:3" ht="15" customHeight="1">
      <c r="A24" s="1" t="s">
        <v>50</v>
      </c>
      <c r="B24" s="3"/>
      <c r="C24" s="11">
        <f>'圧縮コイルばね'!$B$11</f>
        <v>91</v>
      </c>
    </row>
    <row r="25" spans="2:18" ht="15" customHeight="1">
      <c r="B25" s="1" t="s">
        <v>32</v>
      </c>
      <c r="C25" s="1">
        <f>($C$24-C22)*$C$23*C18</f>
        <v>417.69223247692724</v>
      </c>
      <c r="D25" s="1">
        <f aca="true" t="shared" si="8" ref="D25:R25">($C$24-D22)*$C$23*D18</f>
        <v>449.45383948119877</v>
      </c>
      <c r="E25" s="1">
        <f t="shared" si="8"/>
        <v>468.508638926698</v>
      </c>
      <c r="F25" s="1">
        <f t="shared" si="8"/>
        <v>475.20579587059984</v>
      </c>
      <c r="G25" s="1">
        <f t="shared" si="8"/>
        <v>470.327099693341</v>
      </c>
      <c r="H25" s="1">
        <f t="shared" si="8"/>
        <v>454.9937259366104</v>
      </c>
      <c r="I25" s="1">
        <f t="shared" si="8"/>
        <v>430.5715857429523</v>
      </c>
      <c r="J25" s="1">
        <f t="shared" si="8"/>
        <v>398.5823528339582</v>
      </c>
      <c r="K25" s="1">
        <f>($C$24-K22)*$C$23*K18</f>
        <v>360.6245711754742</v>
      </c>
      <c r="L25" s="1">
        <f t="shared" si="8"/>
        <v>318.30697542037746</v>
      </c>
      <c r="M25" s="1">
        <f t="shared" si="8"/>
        <v>273.19446826402935</v>
      </c>
      <c r="N25" s="1">
        <f t="shared" si="8"/>
        <v>226.7660920273602</v>
      </c>
      <c r="O25" s="1">
        <f t="shared" si="8"/>
        <v>180.38371196029314</v>
      </c>
      <c r="P25" s="1">
        <f t="shared" si="8"/>
        <v>135.26986958809172</v>
      </c>
      <c r="Q25" s="1">
        <f t="shared" si="8"/>
        <v>92.49324438641275</v>
      </c>
      <c r="R25" s="1">
        <f t="shared" si="8"/>
        <v>48.71450825638862</v>
      </c>
    </row>
    <row r="26" spans="1:3" ht="15" customHeight="1">
      <c r="A26" s="1" t="s">
        <v>45</v>
      </c>
      <c r="B26" s="1" t="s">
        <v>40</v>
      </c>
      <c r="C26" s="13">
        <v>2</v>
      </c>
    </row>
    <row r="27" spans="1:18" ht="15" customHeight="1">
      <c r="A27" s="1" t="s">
        <v>67</v>
      </c>
      <c r="B27" s="9" t="s">
        <v>39</v>
      </c>
      <c r="C27" s="9">
        <f>$C$26*C25</f>
        <v>835.3844649538545</v>
      </c>
      <c r="D27" s="9">
        <f aca="true" t="shared" si="9" ref="D27:R27">$C$26*D25</f>
        <v>898.9076789623975</v>
      </c>
      <c r="E27" s="9">
        <f t="shared" si="9"/>
        <v>937.017277853396</v>
      </c>
      <c r="F27" s="9">
        <f t="shared" si="9"/>
        <v>950.4115917411997</v>
      </c>
      <c r="G27" s="9">
        <f t="shared" si="9"/>
        <v>940.654199386682</v>
      </c>
      <c r="H27" s="9">
        <f t="shared" si="9"/>
        <v>909.9874518732208</v>
      </c>
      <c r="I27" s="9">
        <f t="shared" si="9"/>
        <v>861.1431714859046</v>
      </c>
      <c r="J27" s="9">
        <f t="shared" si="9"/>
        <v>797.1647056679165</v>
      </c>
      <c r="K27" s="9">
        <f t="shared" si="9"/>
        <v>721.2491423509484</v>
      </c>
      <c r="L27" s="9">
        <f t="shared" si="9"/>
        <v>636.6139508407549</v>
      </c>
      <c r="M27" s="9">
        <f t="shared" si="9"/>
        <v>546.3889365280587</v>
      </c>
      <c r="N27" s="9">
        <f t="shared" si="9"/>
        <v>453.5321840547204</v>
      </c>
      <c r="O27" s="9">
        <f t="shared" si="9"/>
        <v>360.7674239205863</v>
      </c>
      <c r="P27" s="9">
        <f t="shared" si="9"/>
        <v>270.53973917618345</v>
      </c>
      <c r="Q27" s="9">
        <f t="shared" si="9"/>
        <v>184.9864887728255</v>
      </c>
      <c r="R27" s="9">
        <f t="shared" si="9"/>
        <v>97.42901651277724</v>
      </c>
    </row>
    <row r="28" spans="1:18" ht="15" customHeight="1">
      <c r="A28" s="1" t="s">
        <v>62</v>
      </c>
      <c r="C28" s="1">
        <f>C27-C6</f>
        <v>-160.81023313789103</v>
      </c>
      <c r="D28" s="1">
        <f aca="true" t="shared" si="10" ref="D28:R28">D27-D6</f>
        <v>-85.90007404981043</v>
      </c>
      <c r="E28" s="1">
        <f t="shared" si="10"/>
        <v>-28.9085484356724</v>
      </c>
      <c r="F28" s="1">
        <f t="shared" si="10"/>
        <v>10.718970955291297</v>
      </c>
      <c r="G28" s="1">
        <f t="shared" si="10"/>
        <v>34.34641235003198</v>
      </c>
      <c r="H28" s="1">
        <f t="shared" si="10"/>
        <v>43.962048088782126</v>
      </c>
      <c r="I28" s="1">
        <f t="shared" si="10"/>
        <v>41.991127196912885</v>
      </c>
      <c r="J28" s="1">
        <f t="shared" si="10"/>
        <v>31.1202625489384</v>
      </c>
      <c r="K28" s="1">
        <f t="shared" si="10"/>
        <v>14.142361164400882</v>
      </c>
      <c r="L28" s="1">
        <f t="shared" si="10"/>
        <v>-6.173658845784416</v>
      </c>
      <c r="M28" s="1">
        <f t="shared" si="10"/>
        <v>-27.187499822987434</v>
      </c>
      <c r="N28" s="1">
        <f t="shared" si="10"/>
        <v>-46.46781594527971</v>
      </c>
      <c r="O28" s="1">
        <f t="shared" si="10"/>
        <v>-61.850837820113156</v>
      </c>
      <c r="P28" s="1">
        <f t="shared" si="10"/>
        <v>-71.48040414948537</v>
      </c>
      <c r="Q28" s="1">
        <f t="shared" si="10"/>
        <v>-73.83255632969525</v>
      </c>
      <c r="R28" s="1">
        <f t="shared" si="10"/>
        <v>-76.21916115415318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 password="CC6F" sheet="1" objects="1" scenarios="1"/>
  <printOptions/>
  <pageMargins left="0.5905511811023623" right="0.1968503937007874" top="0.7874015748031497" bottom="0.1968503937007874" header="0.5118110236220472" footer="0.5118110236220472"/>
  <pageSetup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25.625" style="15" customWidth="1"/>
    <col min="2" max="26" width="10.625" style="15" customWidth="1"/>
    <col min="27" max="16384" width="9.00390625" style="15" customWidth="1"/>
  </cols>
  <sheetData>
    <row r="1" spans="2:7" ht="13.5">
      <c r="B1" s="7"/>
      <c r="C1" s="7"/>
      <c r="D1" s="7"/>
      <c r="E1" s="7"/>
      <c r="F1" s="7"/>
      <c r="G1" s="7"/>
    </row>
    <row r="2" spans="1:2" ht="15.75" customHeight="1">
      <c r="A2" s="15" t="s">
        <v>5</v>
      </c>
      <c r="B2" s="40" t="s">
        <v>33</v>
      </c>
    </row>
    <row r="3" spans="1:2" ht="15.75" customHeight="1">
      <c r="A3" s="15" t="s">
        <v>6</v>
      </c>
      <c r="B3" s="40">
        <v>2.6</v>
      </c>
    </row>
    <row r="4" spans="1:2" ht="15.75" customHeight="1">
      <c r="A4" s="15" t="s">
        <v>3</v>
      </c>
      <c r="B4" s="15">
        <f>LOOKUP(B2,$C$26:$K$26,$C$27:$K$27)</f>
        <v>8000</v>
      </c>
    </row>
    <row r="5" spans="1:2" ht="15.75" customHeight="1">
      <c r="A5" s="15" t="s">
        <v>7</v>
      </c>
      <c r="B5" s="16">
        <f>VLOOKUP(B3,$B$28:$K$78,MATCH(B2,$C$26:$K$26,1)+1)</f>
        <v>199.99999999999997</v>
      </c>
    </row>
    <row r="6" spans="1:2" ht="15.75" customHeight="1">
      <c r="A6" s="15" t="s">
        <v>8</v>
      </c>
      <c r="B6" s="41">
        <v>15</v>
      </c>
    </row>
    <row r="7" spans="1:2" ht="15.75" customHeight="1">
      <c r="A7" s="15" t="s">
        <v>9</v>
      </c>
      <c r="B7" s="40">
        <v>13.2</v>
      </c>
    </row>
    <row r="8" spans="1:2" ht="15.75" customHeight="1">
      <c r="A8" s="15" t="s">
        <v>4</v>
      </c>
      <c r="B8" s="17">
        <f>B4*POWER(B3,4)/8/B7/POWER(B6,3)</f>
        <v>1.0257598204264873</v>
      </c>
    </row>
    <row r="9" spans="1:2" ht="15.75" customHeight="1">
      <c r="A9" s="15" t="s">
        <v>10</v>
      </c>
      <c r="B9" s="42" t="s">
        <v>34</v>
      </c>
    </row>
    <row r="10" spans="1:2" ht="15.75" customHeight="1">
      <c r="A10" s="15" t="s">
        <v>11</v>
      </c>
      <c r="B10" s="39">
        <f>B3*(B7+(LOOKUP(B9,$M$26:$N$26,$M$27:$N$27))+1)</f>
        <v>38.22</v>
      </c>
    </row>
    <row r="11" spans="1:2" ht="15.75" customHeight="1">
      <c r="A11" s="15" t="s">
        <v>12</v>
      </c>
      <c r="B11" s="40">
        <v>91</v>
      </c>
    </row>
    <row r="12" spans="1:2" ht="15.75" customHeight="1">
      <c r="A12" s="15" t="s">
        <v>13</v>
      </c>
      <c r="B12" s="17">
        <f>'軸間距離設定'!P22</f>
        <v>84.8049391208471</v>
      </c>
    </row>
    <row r="13" spans="1:2" ht="15.75" customHeight="1">
      <c r="A13" s="15" t="s">
        <v>14</v>
      </c>
      <c r="B13" s="17">
        <f>'軸間距離設定'!C22</f>
        <v>61.78630692236935</v>
      </c>
    </row>
    <row r="14" spans="1:2" ht="15.75" customHeight="1">
      <c r="A14" s="15" t="s">
        <v>15</v>
      </c>
      <c r="B14" s="17">
        <f>B8*(B11-B12)</f>
        <v>6.35464453493104</v>
      </c>
    </row>
    <row r="15" spans="1:2" ht="15.75" customHeight="1">
      <c r="A15" s="15" t="s">
        <v>16</v>
      </c>
      <c r="B15" s="17">
        <f>B8*(B11-B13)</f>
        <v>29.96623256530493</v>
      </c>
    </row>
    <row r="16" spans="1:2" ht="15.75" customHeight="1">
      <c r="A16" s="15" t="s">
        <v>17</v>
      </c>
      <c r="B16" s="18">
        <f>8*B6*B15/PI()/POWER(B3,3)</f>
        <v>65.12436101879298</v>
      </c>
    </row>
    <row r="17" spans="1:2" ht="15.75" customHeight="1">
      <c r="A17" s="15" t="s">
        <v>18</v>
      </c>
      <c r="B17" s="18">
        <f>((4*B6/B3-1)/(4*B6/B3-4)+0.615/(B6/B3))*B16</f>
        <v>82.30794887006134</v>
      </c>
    </row>
    <row r="18" spans="1:2" ht="15.75" customHeight="1">
      <c r="A18" s="15" t="s">
        <v>19</v>
      </c>
      <c r="B18" s="19">
        <f>B17/B5</f>
        <v>0.41153974435030677</v>
      </c>
    </row>
    <row r="19" spans="1:2" ht="15.75" customHeight="1">
      <c r="A19" s="15" t="s">
        <v>20</v>
      </c>
      <c r="B19" s="8">
        <f>B14/B15</f>
        <v>0.2120601754352158</v>
      </c>
    </row>
    <row r="20" ht="15.75" customHeight="1"/>
    <row r="21" ht="15.75" customHeight="1"/>
    <row r="22" ht="15.75" customHeight="1"/>
    <row r="26" spans="2:14" ht="15" thickBot="1" thickTop="1">
      <c r="B26" s="20"/>
      <c r="C26" s="21" t="s">
        <v>21</v>
      </c>
      <c r="D26" s="21" t="s">
        <v>22</v>
      </c>
      <c r="E26" s="21" t="s">
        <v>23</v>
      </c>
      <c r="F26" s="21" t="s">
        <v>24</v>
      </c>
      <c r="G26" s="21" t="s">
        <v>25</v>
      </c>
      <c r="H26" s="21" t="s">
        <v>26</v>
      </c>
      <c r="I26" s="21" t="s">
        <v>27</v>
      </c>
      <c r="J26" s="21" t="s">
        <v>28</v>
      </c>
      <c r="K26" s="22" t="s">
        <v>29</v>
      </c>
      <c r="M26" s="15" t="s">
        <v>30</v>
      </c>
      <c r="N26" s="15" t="s">
        <v>31</v>
      </c>
    </row>
    <row r="27" spans="2:14" ht="15" thickBot="1" thickTop="1">
      <c r="B27" s="23" t="s">
        <v>69</v>
      </c>
      <c r="C27" s="24">
        <v>7000</v>
      </c>
      <c r="D27" s="24">
        <v>7000</v>
      </c>
      <c r="E27" s="24">
        <v>7000</v>
      </c>
      <c r="F27" s="24">
        <v>8000</v>
      </c>
      <c r="G27" s="24">
        <v>8000</v>
      </c>
      <c r="H27" s="24">
        <v>8000</v>
      </c>
      <c r="I27" s="24">
        <v>8000</v>
      </c>
      <c r="J27" s="24">
        <v>8000</v>
      </c>
      <c r="K27" s="25">
        <v>8000</v>
      </c>
      <c r="M27" s="15">
        <v>0.5</v>
      </c>
      <c r="N27" s="15">
        <v>2.5</v>
      </c>
    </row>
    <row r="28" spans="2:11" ht="14.25" thickTop="1">
      <c r="B28" s="26">
        <v>0.08</v>
      </c>
      <c r="C28" s="27">
        <f aca="true" t="shared" si="0" ref="C28:C35">1650/9.8</f>
        <v>168.3673469387755</v>
      </c>
      <c r="D28" s="27">
        <f aca="true" t="shared" si="1" ref="D28:D35">2150/9.8</f>
        <v>219.3877551020408</v>
      </c>
      <c r="E28" s="28"/>
      <c r="F28" s="27">
        <f>2110/9.8</f>
        <v>215.30612244897958</v>
      </c>
      <c r="G28" s="27">
        <f>2450/9.8</f>
        <v>249.99999999999997</v>
      </c>
      <c r="H28" s="27">
        <f>2790/9.8</f>
        <v>284.69387755102036</v>
      </c>
      <c r="I28" s="27">
        <f>2890/9.8</f>
        <v>294.89795918367344</v>
      </c>
      <c r="J28" s="27">
        <f>3190/9.8</f>
        <v>325.51020408163265</v>
      </c>
      <c r="K28" s="29"/>
    </row>
    <row r="29" spans="2:11" ht="13.5">
      <c r="B29" s="26">
        <v>0.09</v>
      </c>
      <c r="C29" s="27">
        <f t="shared" si="0"/>
        <v>168.3673469387755</v>
      </c>
      <c r="D29" s="27">
        <f t="shared" si="1"/>
        <v>219.3877551020408</v>
      </c>
      <c r="E29" s="28"/>
      <c r="F29" s="27">
        <f>2060/9.8</f>
        <v>210.20408163265304</v>
      </c>
      <c r="G29" s="27">
        <f>2400/9.8</f>
        <v>244.89795918367346</v>
      </c>
      <c r="H29" s="27">
        <f>2750/9.8</f>
        <v>280.61224489795916</v>
      </c>
      <c r="I29" s="27">
        <f>2840/9.8</f>
        <v>289.7959183673469</v>
      </c>
      <c r="J29" s="27">
        <f>3140/9.8</f>
        <v>320.4081632653061</v>
      </c>
      <c r="K29" s="29"/>
    </row>
    <row r="30" spans="2:11" ht="13.5">
      <c r="B30" s="26">
        <v>0.1</v>
      </c>
      <c r="C30" s="27">
        <f t="shared" si="0"/>
        <v>168.3673469387755</v>
      </c>
      <c r="D30" s="27">
        <f t="shared" si="1"/>
        <v>219.3877551020408</v>
      </c>
      <c r="E30" s="28"/>
      <c r="F30" s="27">
        <f>2010/9.8</f>
        <v>205.1020408163265</v>
      </c>
      <c r="G30" s="27">
        <f>2350/9.8</f>
        <v>239.79591836734693</v>
      </c>
      <c r="H30" s="27">
        <f>2700/9.8</f>
        <v>275.51020408163265</v>
      </c>
      <c r="I30" s="27">
        <f>2790/9.8</f>
        <v>284.69387755102036</v>
      </c>
      <c r="J30" s="27">
        <f>3090/9.8</f>
        <v>315.3061224489796</v>
      </c>
      <c r="K30" s="29"/>
    </row>
    <row r="31" spans="2:11" ht="13.5">
      <c r="B31" s="26">
        <v>0.12</v>
      </c>
      <c r="C31" s="27">
        <f t="shared" si="0"/>
        <v>168.3673469387755</v>
      </c>
      <c r="D31" s="27">
        <f t="shared" si="1"/>
        <v>219.3877551020408</v>
      </c>
      <c r="E31" s="28"/>
      <c r="F31" s="27">
        <f>1960/9.8</f>
        <v>199.99999999999997</v>
      </c>
      <c r="G31" s="27">
        <f>2300/9.8</f>
        <v>234.6938775510204</v>
      </c>
      <c r="H31" s="27">
        <f>2650/9.8</f>
        <v>270.4081632653061</v>
      </c>
      <c r="I31" s="27">
        <f>2750/9.8</f>
        <v>280.61224489795916</v>
      </c>
      <c r="J31" s="27">
        <f>3040/9.8</f>
        <v>310.204081632653</v>
      </c>
      <c r="K31" s="29"/>
    </row>
    <row r="32" spans="2:11" ht="13.5">
      <c r="B32" s="26">
        <v>0.14</v>
      </c>
      <c r="C32" s="27">
        <f t="shared" si="0"/>
        <v>168.3673469387755</v>
      </c>
      <c r="D32" s="27">
        <f t="shared" si="1"/>
        <v>219.3877551020408</v>
      </c>
      <c r="E32" s="28"/>
      <c r="F32" s="27">
        <f>1960/9.8</f>
        <v>199.99999999999997</v>
      </c>
      <c r="G32" s="27">
        <f>2260/9.8</f>
        <v>230.61224489795916</v>
      </c>
      <c r="H32" s="27">
        <f>2600/9.8</f>
        <v>265.3061224489796</v>
      </c>
      <c r="I32" s="27">
        <f>2700/9.8</f>
        <v>275.51020408163265</v>
      </c>
      <c r="J32" s="27">
        <f>2990/9.8</f>
        <v>305.1020408163265</v>
      </c>
      <c r="K32" s="29"/>
    </row>
    <row r="33" spans="2:11" ht="13.5">
      <c r="B33" s="26">
        <v>0.16</v>
      </c>
      <c r="C33" s="27">
        <f t="shared" si="0"/>
        <v>168.3673469387755</v>
      </c>
      <c r="D33" s="27">
        <f t="shared" si="1"/>
        <v>219.3877551020408</v>
      </c>
      <c r="E33" s="28"/>
      <c r="F33" s="27">
        <f>1910/9.8</f>
        <v>194.89795918367346</v>
      </c>
      <c r="G33" s="27">
        <f>2210/9.8</f>
        <v>225.51020408163265</v>
      </c>
      <c r="H33" s="27">
        <f>2550/9.8</f>
        <v>260.204081632653</v>
      </c>
      <c r="I33" s="27">
        <f>2650/9.8</f>
        <v>270.4081632653061</v>
      </c>
      <c r="J33" s="27">
        <f>2940/9.8</f>
        <v>300</v>
      </c>
      <c r="K33" s="29"/>
    </row>
    <row r="34" spans="2:11" ht="13.5">
      <c r="B34" s="26">
        <v>0.18</v>
      </c>
      <c r="C34" s="27">
        <f t="shared" si="0"/>
        <v>168.3673469387755</v>
      </c>
      <c r="D34" s="27">
        <f t="shared" si="1"/>
        <v>219.3877551020408</v>
      </c>
      <c r="E34" s="28"/>
      <c r="F34" s="27">
        <f>1910/9.8</f>
        <v>194.89795918367346</v>
      </c>
      <c r="G34" s="27">
        <f>2210/9.8</f>
        <v>225.51020408163265</v>
      </c>
      <c r="H34" s="27">
        <f>2500/9.8</f>
        <v>255.1020408163265</v>
      </c>
      <c r="I34" s="27">
        <f>2600/9.8</f>
        <v>265.3061224489796</v>
      </c>
      <c r="J34" s="27">
        <f>2890/9.8</f>
        <v>294.89795918367344</v>
      </c>
      <c r="K34" s="29"/>
    </row>
    <row r="35" spans="2:11" ht="13.5">
      <c r="B35" s="26">
        <v>0.2</v>
      </c>
      <c r="C35" s="27">
        <f t="shared" si="0"/>
        <v>168.3673469387755</v>
      </c>
      <c r="D35" s="27">
        <f t="shared" si="1"/>
        <v>219.3877551020408</v>
      </c>
      <c r="E35" s="28"/>
      <c r="F35" s="27">
        <f>1910/9.8</f>
        <v>194.89795918367346</v>
      </c>
      <c r="G35" s="27">
        <f>2160/9.8</f>
        <v>220.40816326530611</v>
      </c>
      <c r="H35" s="27">
        <f>2500/9.8</f>
        <v>255.1020408163265</v>
      </c>
      <c r="I35" s="27">
        <f>2600/9.8</f>
        <v>265.3061224489796</v>
      </c>
      <c r="J35" s="27">
        <f>2840/9.8</f>
        <v>289.7959183673469</v>
      </c>
      <c r="K35" s="29"/>
    </row>
    <row r="36" spans="2:11" ht="13.5">
      <c r="B36" s="26">
        <v>0.23</v>
      </c>
      <c r="C36" s="27">
        <f aca="true" t="shared" si="2" ref="C36:C45">1600/9.8</f>
        <v>163.26530612244898</v>
      </c>
      <c r="D36" s="27">
        <f aca="true" t="shared" si="3" ref="D36:D41">2050/9.8</f>
        <v>209.18367346938774</v>
      </c>
      <c r="E36" s="28"/>
      <c r="F36" s="27">
        <f>1860/9.8</f>
        <v>189.79591836734693</v>
      </c>
      <c r="G36" s="27">
        <f>2110/9.8</f>
        <v>215.30612244897958</v>
      </c>
      <c r="H36" s="27">
        <f>2450/9.8</f>
        <v>249.99999999999997</v>
      </c>
      <c r="I36" s="27">
        <f>2550/9.8</f>
        <v>260.204081632653</v>
      </c>
      <c r="J36" s="27">
        <f>2790/9.8</f>
        <v>284.69387755102036</v>
      </c>
      <c r="K36" s="29"/>
    </row>
    <row r="37" spans="2:11" ht="13.5">
      <c r="B37" s="26">
        <v>0.26</v>
      </c>
      <c r="C37" s="27">
        <f t="shared" si="2"/>
        <v>163.26530612244898</v>
      </c>
      <c r="D37" s="27">
        <f t="shared" si="3"/>
        <v>209.18367346938774</v>
      </c>
      <c r="E37" s="28"/>
      <c r="F37" s="27">
        <f>1810/9.8</f>
        <v>184.6938775510204</v>
      </c>
      <c r="G37" s="27">
        <f>2060/9.8</f>
        <v>210.20408163265304</v>
      </c>
      <c r="H37" s="27">
        <f>2400/9.8</f>
        <v>244.89795918367346</v>
      </c>
      <c r="I37" s="27">
        <f>2500/9.8</f>
        <v>255.1020408163265</v>
      </c>
      <c r="J37" s="27">
        <f>2750/9.8</f>
        <v>280.61224489795916</v>
      </c>
      <c r="K37" s="29"/>
    </row>
    <row r="38" spans="2:11" ht="13.5">
      <c r="B38" s="26">
        <v>0.29</v>
      </c>
      <c r="C38" s="27">
        <f t="shared" si="2"/>
        <v>163.26530612244898</v>
      </c>
      <c r="D38" s="27">
        <f t="shared" si="3"/>
        <v>209.18367346938774</v>
      </c>
      <c r="E38" s="28"/>
      <c r="F38" s="27">
        <f>1770/9.8</f>
        <v>180.61224489795916</v>
      </c>
      <c r="G38" s="27">
        <f>2010/9.8</f>
        <v>205.1020408163265</v>
      </c>
      <c r="H38" s="27">
        <f>2350/9.8</f>
        <v>239.79591836734693</v>
      </c>
      <c r="I38" s="27">
        <f>2450/9.8</f>
        <v>249.99999999999997</v>
      </c>
      <c r="J38" s="27">
        <f>2700/9.8</f>
        <v>275.51020408163265</v>
      </c>
      <c r="K38" s="29"/>
    </row>
    <row r="39" spans="2:11" ht="13.5">
      <c r="B39" s="26">
        <v>0.32</v>
      </c>
      <c r="C39" s="27">
        <f t="shared" si="2"/>
        <v>163.26530612244898</v>
      </c>
      <c r="D39" s="27">
        <f t="shared" si="3"/>
        <v>209.18367346938774</v>
      </c>
      <c r="E39" s="28"/>
      <c r="F39" s="27">
        <f>1720/9.8</f>
        <v>175.51020408163265</v>
      </c>
      <c r="G39" s="27">
        <f>2010/9.8</f>
        <v>205.1020408163265</v>
      </c>
      <c r="H39" s="27">
        <f>2300/9.8</f>
        <v>234.6938775510204</v>
      </c>
      <c r="I39" s="27">
        <f>2400/9.8</f>
        <v>244.89795918367346</v>
      </c>
      <c r="J39" s="27">
        <f>2650/9.8</f>
        <v>270.4081632653061</v>
      </c>
      <c r="K39" s="29"/>
    </row>
    <row r="40" spans="2:11" ht="13.5">
      <c r="B40" s="26">
        <v>0.35</v>
      </c>
      <c r="C40" s="27">
        <f t="shared" si="2"/>
        <v>163.26530612244898</v>
      </c>
      <c r="D40" s="27">
        <f t="shared" si="3"/>
        <v>209.18367346938774</v>
      </c>
      <c r="E40" s="28"/>
      <c r="F40" s="27">
        <f>1720/9.8</f>
        <v>175.51020408163265</v>
      </c>
      <c r="G40" s="27">
        <f>1960/9.8</f>
        <v>199.99999999999997</v>
      </c>
      <c r="H40" s="27">
        <f>2300/9.8</f>
        <v>234.6938775510204</v>
      </c>
      <c r="I40" s="27">
        <f>2400/9.8</f>
        <v>244.89795918367346</v>
      </c>
      <c r="J40" s="27">
        <f>2650/9.8</f>
        <v>270.4081632653061</v>
      </c>
      <c r="K40" s="29"/>
    </row>
    <row r="41" spans="2:11" ht="13.5">
      <c r="B41" s="26">
        <v>0.4</v>
      </c>
      <c r="C41" s="27">
        <f t="shared" si="2"/>
        <v>163.26530612244898</v>
      </c>
      <c r="D41" s="27">
        <f t="shared" si="3"/>
        <v>209.18367346938774</v>
      </c>
      <c r="E41" s="28"/>
      <c r="F41" s="27">
        <f>1670/9.8</f>
        <v>170.40816326530611</v>
      </c>
      <c r="G41" s="27">
        <f>1910/9.8</f>
        <v>194.89795918367346</v>
      </c>
      <c r="H41" s="27">
        <f>2260/9.8</f>
        <v>230.61224489795916</v>
      </c>
      <c r="I41" s="27">
        <f>2350/9.8</f>
        <v>239.79591836734693</v>
      </c>
      <c r="J41" s="27">
        <f>2600/9.8</f>
        <v>265.3061224489796</v>
      </c>
      <c r="K41" s="29"/>
    </row>
    <row r="42" spans="2:11" ht="13.5">
      <c r="B42" s="26">
        <v>0.45</v>
      </c>
      <c r="C42" s="27">
        <f t="shared" si="2"/>
        <v>163.26530612244898</v>
      </c>
      <c r="D42" s="27">
        <f>1950/9.8</f>
        <v>198.97959183673467</v>
      </c>
      <c r="E42" s="28"/>
      <c r="F42" s="27">
        <f>1620/9.8</f>
        <v>165.30612244897958</v>
      </c>
      <c r="G42" s="27">
        <f>1910/9.8</f>
        <v>194.89795918367346</v>
      </c>
      <c r="H42" s="27">
        <f>2210/9.8</f>
        <v>225.51020408163265</v>
      </c>
      <c r="I42" s="27">
        <f>2300/9.8</f>
        <v>234.6938775510204</v>
      </c>
      <c r="J42" s="27">
        <f>2550/9.8</f>
        <v>260.204081632653</v>
      </c>
      <c r="K42" s="29"/>
    </row>
    <row r="43" spans="2:11" ht="13.5">
      <c r="B43" s="26">
        <v>0.5</v>
      </c>
      <c r="C43" s="27">
        <f t="shared" si="2"/>
        <v>163.26530612244898</v>
      </c>
      <c r="D43" s="27">
        <f>1950/9.8</f>
        <v>198.97959183673467</v>
      </c>
      <c r="E43" s="28"/>
      <c r="F43" s="27">
        <f>1620/9.8</f>
        <v>165.30612244897958</v>
      </c>
      <c r="G43" s="27">
        <f>1910/9.8</f>
        <v>194.89795918367346</v>
      </c>
      <c r="H43" s="27">
        <f>2210/9.8</f>
        <v>225.51020408163265</v>
      </c>
      <c r="I43" s="27">
        <f>2300/9.8</f>
        <v>234.6938775510204</v>
      </c>
      <c r="J43" s="27">
        <f>2550/9.8</f>
        <v>260.204081632653</v>
      </c>
      <c r="K43" s="29"/>
    </row>
    <row r="44" spans="2:11" ht="13.5">
      <c r="B44" s="26">
        <v>0.55</v>
      </c>
      <c r="C44" s="27">
        <f t="shared" si="2"/>
        <v>163.26530612244898</v>
      </c>
      <c r="D44" s="27">
        <f>1950/9.8</f>
        <v>198.97959183673467</v>
      </c>
      <c r="E44" s="28"/>
      <c r="F44" s="27">
        <f>1570/9.8</f>
        <v>160.20408163265304</v>
      </c>
      <c r="G44" s="27">
        <f>1860/9.8</f>
        <v>189.79591836734693</v>
      </c>
      <c r="H44" s="27">
        <f>2160/9.8</f>
        <v>220.40816326530611</v>
      </c>
      <c r="I44" s="27">
        <f>2260/9.8</f>
        <v>230.61224489795916</v>
      </c>
      <c r="J44" s="27">
        <f>2500/9.8</f>
        <v>255.1020408163265</v>
      </c>
      <c r="K44" s="29"/>
    </row>
    <row r="45" spans="2:11" ht="13.5">
      <c r="B45" s="26">
        <v>0.6</v>
      </c>
      <c r="C45" s="27">
        <f t="shared" si="2"/>
        <v>163.26530612244898</v>
      </c>
      <c r="D45" s="27">
        <f>1950/9.8</f>
        <v>198.97959183673467</v>
      </c>
      <c r="E45" s="28"/>
      <c r="F45" s="27">
        <f>1570/9.8</f>
        <v>160.20408163265304</v>
      </c>
      <c r="G45" s="27">
        <f>1810/9.8</f>
        <v>184.6938775510204</v>
      </c>
      <c r="H45" s="27">
        <f>2110/9.8</f>
        <v>215.30612244897958</v>
      </c>
      <c r="I45" s="27">
        <f>2210/9.8</f>
        <v>225.51020408163265</v>
      </c>
      <c r="J45" s="27">
        <f>2450/9.8</f>
        <v>249.99999999999997</v>
      </c>
      <c r="K45" s="29"/>
    </row>
    <row r="46" spans="2:11" ht="13.5">
      <c r="B46" s="26">
        <v>0.65</v>
      </c>
      <c r="C46" s="27">
        <f>1530/9.8</f>
        <v>156.12244897959184</v>
      </c>
      <c r="D46" s="27">
        <f>1850/9.8</f>
        <v>188.77551020408163</v>
      </c>
      <c r="E46" s="28"/>
      <c r="F46" s="27">
        <f>1570/9.8</f>
        <v>160.20408163265304</v>
      </c>
      <c r="G46" s="27">
        <f>1810/9.8</f>
        <v>184.6938775510204</v>
      </c>
      <c r="H46" s="27">
        <f>2110/9.8</f>
        <v>215.30612244897958</v>
      </c>
      <c r="I46" s="27">
        <f>2210/9.8</f>
        <v>225.51020408163265</v>
      </c>
      <c r="J46" s="27">
        <f>2450/9.8</f>
        <v>249.99999999999997</v>
      </c>
      <c r="K46" s="29"/>
    </row>
    <row r="47" spans="2:11" ht="13.5">
      <c r="B47" s="26">
        <v>0.7</v>
      </c>
      <c r="C47" s="27">
        <f>1530/9.8</f>
        <v>156.12244897959184</v>
      </c>
      <c r="D47" s="27">
        <f>1850/9.8</f>
        <v>188.77551020408163</v>
      </c>
      <c r="E47" s="28"/>
      <c r="F47" s="27">
        <f>1520/9.8</f>
        <v>155.1020408163265</v>
      </c>
      <c r="G47" s="27">
        <f>1770/9.8</f>
        <v>180.61224489795916</v>
      </c>
      <c r="H47" s="27">
        <f>2060/9.8</f>
        <v>210.20408163265304</v>
      </c>
      <c r="I47" s="27">
        <f>2160/9.8</f>
        <v>220.40816326530611</v>
      </c>
      <c r="J47" s="27">
        <f>2400/9.8</f>
        <v>244.89795918367346</v>
      </c>
      <c r="K47" s="29"/>
    </row>
    <row r="48" spans="2:11" ht="13.5">
      <c r="B48" s="26">
        <v>0.8</v>
      </c>
      <c r="C48" s="27">
        <f>1530/9.8</f>
        <v>156.12244897959184</v>
      </c>
      <c r="D48" s="27">
        <f>1850/9.8</f>
        <v>188.77551020408163</v>
      </c>
      <c r="E48" s="28"/>
      <c r="F48" s="27">
        <f>1520/9.8</f>
        <v>155.1020408163265</v>
      </c>
      <c r="G48" s="27">
        <f>1770/9.8</f>
        <v>180.61224489795916</v>
      </c>
      <c r="H48" s="27">
        <f>2010/9.8</f>
        <v>205.1020408163265</v>
      </c>
      <c r="I48" s="27">
        <f>2110/9.8</f>
        <v>215.30612244897958</v>
      </c>
      <c r="J48" s="27">
        <f>2350/9.8</f>
        <v>239.79591836734693</v>
      </c>
      <c r="K48" s="29"/>
    </row>
    <row r="49" spans="2:11" ht="13.5">
      <c r="B49" s="26">
        <v>0.9</v>
      </c>
      <c r="C49" s="27">
        <f>1530/9.8</f>
        <v>156.12244897959184</v>
      </c>
      <c r="D49" s="27">
        <f>1850/9.8</f>
        <v>188.77551020408163</v>
      </c>
      <c r="E49" s="28"/>
      <c r="F49" s="27">
        <f>1520/9.8</f>
        <v>155.1020408163265</v>
      </c>
      <c r="G49" s="27">
        <f>1770/9.8</f>
        <v>180.61224489795916</v>
      </c>
      <c r="H49" s="27">
        <f>2010/9.8</f>
        <v>205.1020408163265</v>
      </c>
      <c r="I49" s="27">
        <f>2110/9.8</f>
        <v>215.30612244897958</v>
      </c>
      <c r="J49" s="27">
        <f>2300/9.8</f>
        <v>234.6938775510204</v>
      </c>
      <c r="K49" s="29"/>
    </row>
    <row r="50" spans="2:11" ht="13.5">
      <c r="B50" s="26">
        <v>1</v>
      </c>
      <c r="C50" s="27">
        <f>1530/9.8</f>
        <v>156.12244897959184</v>
      </c>
      <c r="D50" s="27">
        <f>1850/9.8</f>
        <v>188.77551020408163</v>
      </c>
      <c r="E50" s="28"/>
      <c r="F50" s="27">
        <f>1470/9.8</f>
        <v>150</v>
      </c>
      <c r="G50" s="27">
        <f>1720/9.8</f>
        <v>175.51020408163265</v>
      </c>
      <c r="H50" s="27">
        <f>1960/9.8</f>
        <v>199.99999999999997</v>
      </c>
      <c r="I50" s="27">
        <f>2060/9.8</f>
        <v>210.20408163265304</v>
      </c>
      <c r="J50" s="27">
        <f>2260/9.8</f>
        <v>230.61224489795916</v>
      </c>
      <c r="K50" s="29">
        <f>2010/9.8</f>
        <v>205.1020408163265</v>
      </c>
    </row>
    <row r="51" spans="2:11" ht="13.5">
      <c r="B51" s="30">
        <v>1.1</v>
      </c>
      <c r="C51" s="31">
        <f>1450/9.8</f>
        <v>147.95918367346937</v>
      </c>
      <c r="D51" s="31">
        <f>1750/9.8</f>
        <v>178.57142857142856</v>
      </c>
      <c r="E51" s="32"/>
      <c r="F51" s="31">
        <f>1420/9.8</f>
        <v>144.89795918367346</v>
      </c>
      <c r="G51" s="31">
        <f>1670/9.8</f>
        <v>170.40816326530611</v>
      </c>
      <c r="H51" s="31">
        <f>1910/9.8</f>
        <v>194.89795918367346</v>
      </c>
      <c r="I51" s="31">
        <f>2010/9.8</f>
        <v>205.1020408163265</v>
      </c>
      <c r="J51" s="31">
        <f>2210/9.8</f>
        <v>225.51020408163265</v>
      </c>
      <c r="K51" s="33">
        <f>1960/9.8</f>
        <v>199.99999999999997</v>
      </c>
    </row>
    <row r="52" spans="2:11" ht="13.5">
      <c r="B52" s="26">
        <v>1.2</v>
      </c>
      <c r="C52" s="27">
        <f>1450/9.8</f>
        <v>147.95918367346937</v>
      </c>
      <c r="D52" s="27">
        <f>1750/9.8</f>
        <v>178.57142857142856</v>
      </c>
      <c r="E52" s="28"/>
      <c r="F52" s="27">
        <f>1420/9.8</f>
        <v>144.89795918367346</v>
      </c>
      <c r="G52" s="27">
        <f>1670/9.8</f>
        <v>170.40816326530611</v>
      </c>
      <c r="H52" s="27">
        <f>1910/9.8</f>
        <v>194.89795918367346</v>
      </c>
      <c r="I52" s="27">
        <f>2010/9.8</f>
        <v>205.1020408163265</v>
      </c>
      <c r="J52" s="27">
        <f>2210/9.8</f>
        <v>225.51020408163265</v>
      </c>
      <c r="K52" s="29">
        <f>1960/9.8</f>
        <v>199.99999999999997</v>
      </c>
    </row>
    <row r="53" spans="2:11" ht="13.5">
      <c r="B53" s="30">
        <v>1.3</v>
      </c>
      <c r="C53" s="31">
        <f>1450/9.8</f>
        <v>147.95918367346937</v>
      </c>
      <c r="D53" s="31">
        <f>1750/9.8</f>
        <v>178.57142857142856</v>
      </c>
      <c r="E53" s="34"/>
      <c r="F53" s="31">
        <f>1370/9.8</f>
        <v>139.79591836734693</v>
      </c>
      <c r="G53" s="31">
        <f>1620/9.8</f>
        <v>165.30612244897958</v>
      </c>
      <c r="H53" s="31">
        <f>1860/9.8</f>
        <v>189.79591836734693</v>
      </c>
      <c r="I53" s="31">
        <f>1960/9.8</f>
        <v>199.99999999999997</v>
      </c>
      <c r="J53" s="31">
        <f>2160/9.8</f>
        <v>220.40816326530611</v>
      </c>
      <c r="K53" s="33">
        <f>1910/9.8</f>
        <v>194.89795918367346</v>
      </c>
    </row>
    <row r="54" spans="2:11" ht="13.5">
      <c r="B54" s="26">
        <v>1.4</v>
      </c>
      <c r="C54" s="27">
        <f>1450/9.8</f>
        <v>147.95918367346937</v>
      </c>
      <c r="D54" s="27">
        <f>1750/9.8</f>
        <v>178.57142857142856</v>
      </c>
      <c r="E54" s="28"/>
      <c r="F54" s="27">
        <f>1370/9.8</f>
        <v>139.79591836734693</v>
      </c>
      <c r="G54" s="27">
        <f>1620/9.8</f>
        <v>165.30612244897958</v>
      </c>
      <c r="H54" s="27">
        <f>1860/9.8</f>
        <v>189.79591836734693</v>
      </c>
      <c r="I54" s="27">
        <f>1960/9.8</f>
        <v>199.99999999999997</v>
      </c>
      <c r="J54" s="27">
        <f>2160/9.8</f>
        <v>220.40816326530611</v>
      </c>
      <c r="K54" s="29">
        <f>1910/9.8</f>
        <v>194.89795918367346</v>
      </c>
    </row>
    <row r="55" spans="2:11" ht="13.5">
      <c r="B55" s="30">
        <v>1.5</v>
      </c>
      <c r="C55" s="31">
        <f aca="true" t="shared" si="4" ref="C55:C60">1400/9.8</f>
        <v>142.85714285714283</v>
      </c>
      <c r="D55" s="31">
        <f aca="true" t="shared" si="5" ref="D55:D60">1650/9.8</f>
        <v>168.3673469387755</v>
      </c>
      <c r="E55" s="34"/>
      <c r="F55" s="31">
        <f>1320/9.8</f>
        <v>134.6938775510204</v>
      </c>
      <c r="G55" s="31">
        <f>1570/9.8</f>
        <v>160.20408163265304</v>
      </c>
      <c r="H55" s="31">
        <f>1810/9.8</f>
        <v>184.6938775510204</v>
      </c>
      <c r="I55" s="31">
        <f>1910/9.8</f>
        <v>194.89795918367346</v>
      </c>
      <c r="J55" s="31">
        <f>2110/9.8</f>
        <v>215.30612244897958</v>
      </c>
      <c r="K55" s="33">
        <f>1860/9.8</f>
        <v>189.79591836734693</v>
      </c>
    </row>
    <row r="56" spans="2:11" ht="13.5">
      <c r="B56" s="26">
        <v>1.6</v>
      </c>
      <c r="C56" s="27">
        <f t="shared" si="4"/>
        <v>142.85714285714283</v>
      </c>
      <c r="D56" s="27">
        <f t="shared" si="5"/>
        <v>168.3673469387755</v>
      </c>
      <c r="E56" s="28"/>
      <c r="F56" s="27">
        <f>1320/9.8</f>
        <v>134.6938775510204</v>
      </c>
      <c r="G56" s="27">
        <f>1570/9.8</f>
        <v>160.20408163265304</v>
      </c>
      <c r="H56" s="27">
        <f>1810/9.8</f>
        <v>184.6938775510204</v>
      </c>
      <c r="I56" s="27">
        <f>1910/9.8</f>
        <v>194.89795918367346</v>
      </c>
      <c r="J56" s="27">
        <f>2110/9.8</f>
        <v>215.30612244897958</v>
      </c>
      <c r="K56" s="29">
        <f>1860/9.8</f>
        <v>189.79591836734693</v>
      </c>
    </row>
    <row r="57" spans="2:11" ht="13.5">
      <c r="B57" s="30">
        <v>1.7</v>
      </c>
      <c r="C57" s="31">
        <f t="shared" si="4"/>
        <v>142.85714285714283</v>
      </c>
      <c r="D57" s="31">
        <f t="shared" si="5"/>
        <v>168.3673469387755</v>
      </c>
      <c r="E57" s="34"/>
      <c r="F57" s="31">
        <f>1270/9.8</f>
        <v>129.59183673469386</v>
      </c>
      <c r="G57" s="31">
        <f>1520/9.8</f>
        <v>155.1020408163265</v>
      </c>
      <c r="H57" s="31">
        <f>1770/9.8</f>
        <v>180.61224489795916</v>
      </c>
      <c r="I57" s="31">
        <f>1860/9.8</f>
        <v>189.79591836734693</v>
      </c>
      <c r="J57" s="31">
        <f>2060/9.8</f>
        <v>210.20408163265304</v>
      </c>
      <c r="K57" s="33">
        <f>1810/9.8</f>
        <v>184.6938775510204</v>
      </c>
    </row>
    <row r="58" spans="2:11" ht="13.5">
      <c r="B58" s="26">
        <v>1.8</v>
      </c>
      <c r="C58" s="27">
        <f t="shared" si="4"/>
        <v>142.85714285714283</v>
      </c>
      <c r="D58" s="27">
        <f t="shared" si="5"/>
        <v>168.3673469387755</v>
      </c>
      <c r="E58" s="28"/>
      <c r="F58" s="27">
        <f>1270/9.8</f>
        <v>129.59183673469386</v>
      </c>
      <c r="G58" s="27">
        <f>1520/9.8</f>
        <v>155.1020408163265</v>
      </c>
      <c r="H58" s="27">
        <f>1770/9.8</f>
        <v>180.61224489795916</v>
      </c>
      <c r="I58" s="27">
        <f>1860/9.8</f>
        <v>189.79591836734693</v>
      </c>
      <c r="J58" s="27">
        <f>2060/9.8</f>
        <v>210.20408163265304</v>
      </c>
      <c r="K58" s="29">
        <f>1810/9.8</f>
        <v>184.6938775510204</v>
      </c>
    </row>
    <row r="59" spans="2:11" ht="13.5">
      <c r="B59" s="30">
        <v>1.9</v>
      </c>
      <c r="C59" s="31">
        <f t="shared" si="4"/>
        <v>142.85714285714283</v>
      </c>
      <c r="D59" s="31">
        <f t="shared" si="5"/>
        <v>168.3673469387755</v>
      </c>
      <c r="E59" s="34"/>
      <c r="F59" s="31">
        <f>1270/9.8</f>
        <v>129.59183673469386</v>
      </c>
      <c r="G59" s="31">
        <f>1470/9.8</f>
        <v>150</v>
      </c>
      <c r="H59" s="31">
        <f>1720/9.8</f>
        <v>175.51020408163265</v>
      </c>
      <c r="I59" s="31">
        <f>1810/9.8</f>
        <v>184.6938775510204</v>
      </c>
      <c r="J59" s="31">
        <f>2010/9.8</f>
        <v>205.1020408163265</v>
      </c>
      <c r="K59" s="33">
        <f>1770/9.8</f>
        <v>180.61224489795916</v>
      </c>
    </row>
    <row r="60" spans="2:11" ht="13.5">
      <c r="B60" s="26">
        <v>2</v>
      </c>
      <c r="C60" s="27">
        <f t="shared" si="4"/>
        <v>142.85714285714283</v>
      </c>
      <c r="D60" s="27">
        <f t="shared" si="5"/>
        <v>168.3673469387755</v>
      </c>
      <c r="E60" s="28"/>
      <c r="F60" s="27">
        <f>1270/9.8</f>
        <v>129.59183673469386</v>
      </c>
      <c r="G60" s="27">
        <f>1470/9.8</f>
        <v>150</v>
      </c>
      <c r="H60" s="27">
        <f>1720/9.8</f>
        <v>175.51020408163265</v>
      </c>
      <c r="I60" s="27">
        <f>1810/9.8</f>
        <v>184.6938775510204</v>
      </c>
      <c r="J60" s="27">
        <f>2010/9.8</f>
        <v>205.1020408163265</v>
      </c>
      <c r="K60" s="29">
        <f>1770/9.8</f>
        <v>180.61224489795916</v>
      </c>
    </row>
    <row r="61" spans="2:11" ht="13.5">
      <c r="B61" s="26">
        <v>2.3</v>
      </c>
      <c r="C61" s="27">
        <f>1320/9.8</f>
        <v>134.6938775510204</v>
      </c>
      <c r="D61" s="27">
        <f>1550/9.8</f>
        <v>158.16326530612244</v>
      </c>
      <c r="E61" s="28"/>
      <c r="F61" s="27">
        <f>1230/9.8</f>
        <v>125.51020408163265</v>
      </c>
      <c r="G61" s="27">
        <f>1420/9.8</f>
        <v>144.89795918367346</v>
      </c>
      <c r="H61" s="27">
        <f>1670/9.8</f>
        <v>170.40816326530611</v>
      </c>
      <c r="I61" s="27">
        <f>1770/9.8</f>
        <v>180.61224489795916</v>
      </c>
      <c r="J61" s="27">
        <f>1960/9.8</f>
        <v>199.99999999999997</v>
      </c>
      <c r="K61" s="29">
        <f>1720/9.8</f>
        <v>175.51020408163265</v>
      </c>
    </row>
    <row r="62" spans="2:11" ht="13.5">
      <c r="B62" s="26">
        <v>2.6</v>
      </c>
      <c r="C62" s="27">
        <f>1320/9.8</f>
        <v>134.6938775510204</v>
      </c>
      <c r="D62" s="27">
        <f>1550/9.8</f>
        <v>158.16326530612244</v>
      </c>
      <c r="E62" s="28"/>
      <c r="F62" s="27">
        <f>1230/9.8</f>
        <v>125.51020408163265</v>
      </c>
      <c r="G62" s="27">
        <f>1420/9.8</f>
        <v>144.89795918367346</v>
      </c>
      <c r="H62" s="27">
        <f>1670/9.8</f>
        <v>170.40816326530611</v>
      </c>
      <c r="I62" s="27">
        <f>1770/9.8</f>
        <v>180.61224489795916</v>
      </c>
      <c r="J62" s="27">
        <f>1960/9.8</f>
        <v>199.99999999999997</v>
      </c>
      <c r="K62" s="29">
        <f>1720/9.8</f>
        <v>175.51020408163265</v>
      </c>
    </row>
    <row r="63" spans="2:11" ht="13.5">
      <c r="B63" s="26">
        <v>2.9</v>
      </c>
      <c r="C63" s="27">
        <f>1230/9.8</f>
        <v>125.51020408163265</v>
      </c>
      <c r="D63" s="27">
        <f>1450/9.8</f>
        <v>147.95918367346937</v>
      </c>
      <c r="E63" s="28"/>
      <c r="F63" s="27">
        <f>1180/9.8</f>
        <v>120.40816326530611</v>
      </c>
      <c r="G63" s="27">
        <f>1370/9.8</f>
        <v>139.79591836734693</v>
      </c>
      <c r="H63" s="27">
        <f>1620/9.8</f>
        <v>165.30612244897958</v>
      </c>
      <c r="I63" s="27">
        <f>1720/9.8</f>
        <v>175.51020408163265</v>
      </c>
      <c r="J63" s="27">
        <f>1910/9.8</f>
        <v>194.89795918367346</v>
      </c>
      <c r="K63" s="29">
        <f>1720/9.8</f>
        <v>175.51020408163265</v>
      </c>
    </row>
    <row r="64" spans="2:11" ht="13.5">
      <c r="B64" s="26">
        <v>3.2</v>
      </c>
      <c r="C64" s="27">
        <f>1230/9.8</f>
        <v>125.51020408163265</v>
      </c>
      <c r="D64" s="27">
        <f>1450/9.8</f>
        <v>147.95918367346937</v>
      </c>
      <c r="E64" s="28"/>
      <c r="F64" s="27">
        <f>1180/9.8</f>
        <v>120.40816326530611</v>
      </c>
      <c r="G64" s="27">
        <f>1370/9.8</f>
        <v>139.79591836734693</v>
      </c>
      <c r="H64" s="27">
        <f>1570/9.8</f>
        <v>160.20408163265304</v>
      </c>
      <c r="I64" s="27">
        <f>1670/9.8</f>
        <v>170.40816326530611</v>
      </c>
      <c r="J64" s="27">
        <f>1860/9.8</f>
        <v>189.79591836734693</v>
      </c>
      <c r="K64" s="29">
        <f>1670/9.8</f>
        <v>170.40816326530611</v>
      </c>
    </row>
    <row r="65" spans="2:11" ht="13.5">
      <c r="B65" s="26">
        <v>3.5</v>
      </c>
      <c r="C65" s="27">
        <f>1230/9.8</f>
        <v>125.51020408163265</v>
      </c>
      <c r="D65" s="27">
        <f>1450/9.8</f>
        <v>147.95918367346937</v>
      </c>
      <c r="E65" s="28"/>
      <c r="F65" s="27">
        <f>1180/9.8</f>
        <v>120.40816326530611</v>
      </c>
      <c r="G65" s="27">
        <f>1370/9.8</f>
        <v>139.79591836734693</v>
      </c>
      <c r="H65" s="27">
        <f>1570/9.8</f>
        <v>160.20408163265304</v>
      </c>
      <c r="I65" s="27">
        <f>1670/9.8</f>
        <v>170.40816326530611</v>
      </c>
      <c r="J65" s="27">
        <f>1810/9.8</f>
        <v>184.6938775510204</v>
      </c>
      <c r="K65" s="29">
        <f>1670/9.8</f>
        <v>170.40816326530611</v>
      </c>
    </row>
    <row r="66" spans="2:11" ht="13.5">
      <c r="B66" s="26">
        <v>4</v>
      </c>
      <c r="C66" s="27">
        <f>1230/9.8</f>
        <v>125.51020408163265</v>
      </c>
      <c r="D66" s="27">
        <f>1450/9.8</f>
        <v>147.95918367346937</v>
      </c>
      <c r="E66" s="28"/>
      <c r="F66" s="27">
        <f>1180/9.8</f>
        <v>120.40816326530611</v>
      </c>
      <c r="G66" s="27">
        <f>1370/9.8</f>
        <v>139.79591836734693</v>
      </c>
      <c r="H66" s="27">
        <f>1570/9.8</f>
        <v>160.20408163265304</v>
      </c>
      <c r="I66" s="27">
        <f>1670/9.8</f>
        <v>170.40816326530611</v>
      </c>
      <c r="J66" s="27">
        <f>1810/9.8</f>
        <v>184.6938775510204</v>
      </c>
      <c r="K66" s="29">
        <f>1670/9.8</f>
        <v>170.40816326530611</v>
      </c>
    </row>
    <row r="67" spans="2:11" ht="13.5">
      <c r="B67" s="26">
        <v>4.5</v>
      </c>
      <c r="C67" s="27">
        <f>1100/9.8</f>
        <v>112.24489795918366</v>
      </c>
      <c r="D67" s="27">
        <f>1350/9.8</f>
        <v>137.75510204081633</v>
      </c>
      <c r="E67" s="28"/>
      <c r="F67" s="27">
        <f>1130/9.8</f>
        <v>115.30612244897958</v>
      </c>
      <c r="G67" s="27">
        <f>1320/9.8</f>
        <v>134.6938775510204</v>
      </c>
      <c r="H67" s="27">
        <f>1520/9.8</f>
        <v>155.1020408163265</v>
      </c>
      <c r="I67" s="27">
        <f>1620/9.8</f>
        <v>165.30612244897958</v>
      </c>
      <c r="J67" s="27">
        <f>1770/9.8</f>
        <v>180.61224489795916</v>
      </c>
      <c r="K67" s="29">
        <f>1620/9.8</f>
        <v>165.30612244897958</v>
      </c>
    </row>
    <row r="68" spans="2:11" ht="13.5">
      <c r="B68" s="26">
        <v>5</v>
      </c>
      <c r="C68" s="27">
        <f>1100/9.8</f>
        <v>112.24489795918366</v>
      </c>
      <c r="D68" s="27">
        <f>1350/9.8</f>
        <v>137.75510204081633</v>
      </c>
      <c r="E68" s="28"/>
      <c r="F68" s="27">
        <f>1130/9.8</f>
        <v>115.30612244897958</v>
      </c>
      <c r="G68" s="27">
        <f>1320/9.8</f>
        <v>134.6938775510204</v>
      </c>
      <c r="H68" s="27">
        <f>1520/9.8</f>
        <v>155.1020408163265</v>
      </c>
      <c r="I68" s="27">
        <f>1620/9.8</f>
        <v>165.30612244897958</v>
      </c>
      <c r="J68" s="27">
        <f>1770/9.8</f>
        <v>180.61224489795916</v>
      </c>
      <c r="K68" s="29">
        <f>1620/9.8</f>
        <v>165.30612244897958</v>
      </c>
    </row>
    <row r="69" spans="2:11" ht="13.5">
      <c r="B69" s="26">
        <v>5.5</v>
      </c>
      <c r="C69" s="27">
        <f>1100/9.8</f>
        <v>112.24489795918366</v>
      </c>
      <c r="D69" s="27">
        <f>1350/9.8</f>
        <v>137.75510204081633</v>
      </c>
      <c r="E69" s="28"/>
      <c r="F69" s="27">
        <f>1080/9.8</f>
        <v>110.20408163265306</v>
      </c>
      <c r="G69" s="27">
        <f>1270/9.8</f>
        <v>129.59183673469386</v>
      </c>
      <c r="H69" s="27">
        <f>1470/9.8</f>
        <v>150</v>
      </c>
      <c r="I69" s="27">
        <f>1570/9.8</f>
        <v>160.20408163265304</v>
      </c>
      <c r="J69" s="27">
        <f>1710/9.8</f>
        <v>174.48979591836732</v>
      </c>
      <c r="K69" s="29">
        <f>1570/9.8</f>
        <v>160.20408163265304</v>
      </c>
    </row>
    <row r="70" spans="2:11" ht="13.5">
      <c r="B70" s="26">
        <v>6</v>
      </c>
      <c r="C70" s="27">
        <f>1100/9.8</f>
        <v>112.24489795918366</v>
      </c>
      <c r="D70" s="27">
        <f>1350/9.8</f>
        <v>137.75510204081633</v>
      </c>
      <c r="E70" s="28"/>
      <c r="F70" s="27">
        <f>1030/9.8</f>
        <v>105.10204081632652</v>
      </c>
      <c r="G70" s="27">
        <f>1230/9.8</f>
        <v>125.51020408163265</v>
      </c>
      <c r="H70" s="27">
        <f>1420/9.8</f>
        <v>144.89795918367346</v>
      </c>
      <c r="I70" s="27">
        <f>1520/9.8</f>
        <v>155.1020408163265</v>
      </c>
      <c r="J70" s="27">
        <f>1670/9.8</f>
        <v>170.40816326530611</v>
      </c>
      <c r="K70" s="29">
        <f>1520/9.8</f>
        <v>155.1020408163265</v>
      </c>
    </row>
    <row r="71" spans="2:11" ht="13.5">
      <c r="B71" s="26">
        <v>6.5</v>
      </c>
      <c r="C71" s="27">
        <f>1000/9.8</f>
        <v>102.0408163265306</v>
      </c>
      <c r="D71" s="27">
        <f>1270/9.8</f>
        <v>129.59183673469386</v>
      </c>
      <c r="E71" s="28"/>
      <c r="F71" s="27">
        <f>1030/9.8</f>
        <v>105.10204081632652</v>
      </c>
      <c r="G71" s="27">
        <f>1230/9.8</f>
        <v>125.51020408163265</v>
      </c>
      <c r="H71" s="27">
        <f>1420/9.8</f>
        <v>144.89795918367346</v>
      </c>
      <c r="I71" s="27">
        <f>1520/9.8</f>
        <v>155.1020408163265</v>
      </c>
      <c r="J71" s="27">
        <f>1670/9.8</f>
        <v>170.40816326530611</v>
      </c>
      <c r="K71" s="29"/>
    </row>
    <row r="72" spans="2:11" ht="13.5">
      <c r="B72" s="26">
        <v>7</v>
      </c>
      <c r="C72" s="27">
        <f>1000/9.8</f>
        <v>102.0408163265306</v>
      </c>
      <c r="D72" s="27">
        <f>1270/9.8</f>
        <v>129.59183673469386</v>
      </c>
      <c r="E72" s="28"/>
      <c r="F72" s="27">
        <f>980/9.8</f>
        <v>99.99999999999999</v>
      </c>
      <c r="G72" s="27">
        <f>1180/9.8</f>
        <v>120.40816326530611</v>
      </c>
      <c r="H72" s="27">
        <f>1370/9.8</f>
        <v>139.79591836734693</v>
      </c>
      <c r="I72" s="27">
        <f>1470/9.8</f>
        <v>150</v>
      </c>
      <c r="J72" s="27">
        <f>1620/9.8</f>
        <v>165.30612244897958</v>
      </c>
      <c r="K72" s="29"/>
    </row>
    <row r="73" spans="2:11" ht="13.5">
      <c r="B73" s="26">
        <v>8</v>
      </c>
      <c r="C73" s="27">
        <f>1000/9.8</f>
        <v>102.0408163265306</v>
      </c>
      <c r="D73" s="27">
        <f>1270/9.8</f>
        <v>129.59183673469386</v>
      </c>
      <c r="E73" s="28"/>
      <c r="F73" s="27">
        <f>980/9.8</f>
        <v>99.99999999999999</v>
      </c>
      <c r="G73" s="27">
        <f>1180/9.8</f>
        <v>120.40816326530611</v>
      </c>
      <c r="H73" s="27">
        <f>1370/9.8</f>
        <v>139.79591836734693</v>
      </c>
      <c r="I73" s="27">
        <f>1470/9.8</f>
        <v>150</v>
      </c>
      <c r="J73" s="27"/>
      <c r="K73" s="29"/>
    </row>
    <row r="74" spans="2:11" ht="13.5">
      <c r="B74" s="26">
        <v>9</v>
      </c>
      <c r="C74" s="27"/>
      <c r="D74" s="27">
        <f>1130/9.8</f>
        <v>115.30612244897958</v>
      </c>
      <c r="E74" s="28"/>
      <c r="F74" s="27">
        <f>930/9.8</f>
        <v>94.89795918367346</v>
      </c>
      <c r="G74" s="27">
        <f>1470/9.8</f>
        <v>150</v>
      </c>
      <c r="H74" s="27">
        <f>1320/9.8</f>
        <v>134.6938775510204</v>
      </c>
      <c r="I74" s="27">
        <f>1420/9.8</f>
        <v>144.89795918367346</v>
      </c>
      <c r="J74" s="27"/>
      <c r="K74" s="29"/>
    </row>
    <row r="75" spans="2:11" ht="13.5">
      <c r="B75" s="26">
        <v>10</v>
      </c>
      <c r="C75" s="27"/>
      <c r="D75" s="27">
        <f>980/9.8</f>
        <v>99.99999999999999</v>
      </c>
      <c r="E75" s="28"/>
      <c r="F75" s="27">
        <f>930/9.8</f>
        <v>94.89795918367346</v>
      </c>
      <c r="G75" s="27">
        <f>1470/9.8</f>
        <v>150</v>
      </c>
      <c r="H75" s="27">
        <f>1320/9.8</f>
        <v>134.6938775510204</v>
      </c>
      <c r="I75" s="27">
        <f>1420/9.8</f>
        <v>144.89795918367346</v>
      </c>
      <c r="J75" s="27"/>
      <c r="K75" s="29"/>
    </row>
    <row r="76" spans="2:11" ht="13.5">
      <c r="B76" s="26">
        <v>11</v>
      </c>
      <c r="C76" s="27"/>
      <c r="D76" s="27">
        <f>880/9.8</f>
        <v>89.79591836734693</v>
      </c>
      <c r="E76" s="28"/>
      <c r="F76" s="27"/>
      <c r="G76" s="27">
        <f>1080/9.8</f>
        <v>110.20408163265306</v>
      </c>
      <c r="H76" s="27">
        <f>1270/9.8</f>
        <v>129.59183673469386</v>
      </c>
      <c r="I76" s="27"/>
      <c r="J76" s="27"/>
      <c r="K76" s="29"/>
    </row>
    <row r="77" spans="2:11" ht="13.5">
      <c r="B77" s="26">
        <v>12</v>
      </c>
      <c r="C77" s="27"/>
      <c r="D77" s="27"/>
      <c r="E77" s="28"/>
      <c r="F77" s="27"/>
      <c r="G77" s="27">
        <f>1080/9.8</f>
        <v>110.20408163265306</v>
      </c>
      <c r="H77" s="27">
        <f>1270/9.8</f>
        <v>129.59183673469386</v>
      </c>
      <c r="I77" s="27"/>
      <c r="J77" s="27"/>
      <c r="K77" s="29"/>
    </row>
    <row r="78" spans="2:11" ht="14.25" thickBot="1">
      <c r="B78" s="35">
        <v>13</v>
      </c>
      <c r="C78" s="36"/>
      <c r="D78" s="36"/>
      <c r="E78" s="37"/>
      <c r="F78" s="36"/>
      <c r="G78" s="36">
        <f>1030/9.8</f>
        <v>105.10204081632652</v>
      </c>
      <c r="H78" s="36">
        <f>1230/9.8</f>
        <v>125.51020408163265</v>
      </c>
      <c r="I78" s="36"/>
      <c r="J78" s="36"/>
      <c r="K78" s="38"/>
    </row>
    <row r="79" ht="14.25" thickTop="1"/>
  </sheetData>
  <sheetProtection/>
  <dataValidations count="4">
    <dataValidation type="list" allowBlank="1" showInputMessage="1" showErrorMessage="1" sqref="B2">
      <formula1>$C$26:$K$26</formula1>
    </dataValidation>
    <dataValidation type="list" allowBlank="1" showInputMessage="1" showErrorMessage="1" sqref="B3">
      <formula1>$B$28:$B$73</formula1>
    </dataValidation>
    <dataValidation type="list" allowBlank="1" showInputMessage="1" showErrorMessage="1" sqref="B9">
      <formula1>$M$26:$N$26</formula1>
    </dataValidation>
    <dataValidation errorStyle="information" type="decimal" operator="greaterThan" allowBlank="1" showInputMessage="1" showErrorMessage="1" error="密着高さ以上に設定して下さい" sqref="B11">
      <formula1>B10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 良宏</dc:creator>
  <cp:keywords/>
  <dc:description/>
  <cp:lastModifiedBy>大塚良宏</cp:lastModifiedBy>
  <cp:lastPrinted>2001-04-16T10:36:09Z</cp:lastPrinted>
  <dcterms:created xsi:type="dcterms:W3CDTF">2001-04-11T06:16:09Z</dcterms:created>
  <dcterms:modified xsi:type="dcterms:W3CDTF">2013-08-06T12:47:18Z</dcterms:modified>
  <cp:category/>
  <cp:version/>
  <cp:contentType/>
  <cp:contentStatus/>
</cp:coreProperties>
</file>